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W0156455.AD\Downloads\mae working\"/>
    </mc:Choice>
  </mc:AlternateContent>
  <xr:revisionPtr revIDLastSave="0" documentId="13_ncr:1_{E181A075-7466-4B73-9068-71C08B6D25B2}" xr6:coauthVersionLast="47" xr6:coauthVersionMax="47" xr10:uidLastSave="{00000000-0000-0000-0000-000000000000}"/>
  <bookViews>
    <workbookView xWindow="28680" yWindow="-1665" windowWidth="29040" windowHeight="15840" tabRatio="834" xr2:uid="{00000000-000D-0000-FFFF-FFFF00000000}"/>
  </bookViews>
  <sheets>
    <sheet name="Pay Check Comparision" sheetId="1" r:id="rId1"/>
    <sheet name="Filing Status" sheetId="2" state="hidden" r:id="rId2"/>
    <sheet name="State Withholding Hidden" sheetId="3" state="hidden" r:id="rId3"/>
    <sheet name="Federal Withholding  Hidden " sheetId="5" state="hidden" r:id="rId4"/>
    <sheet name="2025 Percentage Method Tables" sheetId="6" state="hidden" r:id="rId5"/>
  </sheets>
  <definedNames>
    <definedName name="_xlnm.Print_Area" localSheetId="0">'Pay Check Comparision'!$A:$D,'Pay Check Comparision'!$H:$I,'Pay Check Comparision'!$M:$N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5" l="1"/>
  <c r="D28" i="1"/>
  <c r="I35" i="1"/>
  <c r="D20" i="1" l="1"/>
  <c r="D17" i="1"/>
  <c r="N38" i="1" l="1"/>
  <c r="E23" i="3"/>
  <c r="D23" i="3"/>
  <c r="C23" i="3"/>
  <c r="E17" i="3"/>
  <c r="D17" i="3"/>
  <c r="E16" i="3"/>
  <c r="D16" i="3"/>
  <c r="C17" i="3"/>
  <c r="C16" i="3"/>
  <c r="B5" i="3"/>
  <c r="D14" i="3" s="1"/>
  <c r="B4" i="3"/>
  <c r="E13" i="3" s="1"/>
  <c r="E21" i="3" l="1"/>
  <c r="D22" i="3"/>
  <c r="E14" i="3"/>
  <c r="E22" i="3"/>
  <c r="C13" i="3"/>
  <c r="C19" i="3" s="1"/>
  <c r="C14" i="3"/>
  <c r="C22" i="3" s="1"/>
  <c r="E19" i="3"/>
  <c r="E20" i="3"/>
  <c r="D13" i="3"/>
  <c r="D21" i="3" s="1"/>
  <c r="D20" i="3"/>
  <c r="D19" i="3" l="1"/>
  <c r="C20" i="3"/>
  <c r="C21" i="3"/>
  <c r="B54" i="6" l="1"/>
  <c r="B60" i="6"/>
  <c r="B55" i="6"/>
  <c r="B56" i="6"/>
  <c r="B57" i="6"/>
  <c r="B58" i="6"/>
  <c r="B59" i="6"/>
  <c r="I9" i="1"/>
  <c r="I10" i="1"/>
  <c r="I38" i="1" l="1"/>
  <c r="D38" i="1"/>
  <c r="N37" i="1"/>
  <c r="N36" i="1"/>
  <c r="I37" i="1"/>
  <c r="I36" i="1"/>
  <c r="I40" i="1" s="1"/>
  <c r="D37" i="1"/>
  <c r="D36" i="1"/>
  <c r="D35" i="1"/>
  <c r="N35" i="1" s="1"/>
  <c r="N39" i="1"/>
  <c r="D23" i="1"/>
  <c r="F43" i="5"/>
  <c r="C7" i="1"/>
  <c r="D7" i="1" s="1"/>
  <c r="B80" i="6"/>
  <c r="E81" i="6" s="1"/>
  <c r="B79" i="6"/>
  <c r="E80" i="6" s="1"/>
  <c r="B78" i="6"/>
  <c r="E79" i="6" s="1"/>
  <c r="B77" i="6"/>
  <c r="E78" i="6" s="1"/>
  <c r="B76" i="6"/>
  <c r="E77" i="6" s="1"/>
  <c r="B75" i="6"/>
  <c r="E76" i="6" s="1"/>
  <c r="B74" i="6"/>
  <c r="E75" i="6" s="1"/>
  <c r="B70" i="6"/>
  <c r="E71" i="6" s="1"/>
  <c r="B69" i="6"/>
  <c r="E70" i="6" s="1"/>
  <c r="B68" i="6"/>
  <c r="E69" i="6" s="1"/>
  <c r="B67" i="6"/>
  <c r="E68" i="6" s="1"/>
  <c r="B66" i="6"/>
  <c r="E67" i="6" s="1"/>
  <c r="B65" i="6"/>
  <c r="E66" i="6" s="1"/>
  <c r="B64" i="6"/>
  <c r="E65" i="6" s="1"/>
  <c r="E61" i="6"/>
  <c r="E60" i="6"/>
  <c r="E59" i="6"/>
  <c r="E58" i="6"/>
  <c r="E57" i="6"/>
  <c r="E56" i="6"/>
  <c r="E55" i="6"/>
  <c r="J70" i="6"/>
  <c r="M71" i="6" s="1"/>
  <c r="J69" i="6"/>
  <c r="M70" i="6" s="1"/>
  <c r="J68" i="6"/>
  <c r="M69" i="6" s="1"/>
  <c r="J67" i="6"/>
  <c r="M68" i="6" s="1"/>
  <c r="J66" i="6"/>
  <c r="M67" i="6" s="1"/>
  <c r="J65" i="6"/>
  <c r="M66" i="6" s="1"/>
  <c r="J64" i="6"/>
  <c r="M65" i="6" s="1"/>
  <c r="J60" i="6"/>
  <c r="M61" i="6" s="1"/>
  <c r="J59" i="6"/>
  <c r="M60" i="6" s="1"/>
  <c r="J58" i="6"/>
  <c r="M59" i="6" s="1"/>
  <c r="J57" i="6"/>
  <c r="M58" i="6" s="1"/>
  <c r="J56" i="6"/>
  <c r="M57" i="6" s="1"/>
  <c r="J55" i="6"/>
  <c r="M56" i="6" s="1"/>
  <c r="J54" i="6"/>
  <c r="M55" i="6" s="1"/>
  <c r="J80" i="6"/>
  <c r="M81" i="6" s="1"/>
  <c r="J79" i="6"/>
  <c r="M80" i="6" s="1"/>
  <c r="J78" i="6"/>
  <c r="M79" i="6" s="1"/>
  <c r="J77" i="6"/>
  <c r="M78" i="6" s="1"/>
  <c r="J76" i="6"/>
  <c r="M77" i="6" s="1"/>
  <c r="J75" i="6"/>
  <c r="M76" i="6" s="1"/>
  <c r="J74" i="6"/>
  <c r="M75" i="6" s="1"/>
  <c r="I23" i="1" l="1"/>
  <c r="N23" i="1" s="1"/>
  <c r="I14" i="5" l="1"/>
  <c r="H14" i="5"/>
  <c r="C15" i="1"/>
  <c r="M53" i="1"/>
  <c r="M52" i="1"/>
  <c r="M51" i="1"/>
  <c r="M48" i="1"/>
  <c r="E43" i="5"/>
  <c r="H53" i="1"/>
  <c r="H52" i="1"/>
  <c r="H51" i="1"/>
  <c r="H48" i="1"/>
  <c r="D34" i="1"/>
  <c r="I34" i="1" s="1"/>
  <c r="N34" i="1" s="1"/>
  <c r="N40" i="1" s="1"/>
  <c r="N15" i="1" l="1"/>
  <c r="E15" i="1"/>
  <c r="P15" i="1"/>
  <c r="D18" i="1"/>
  <c r="I18" i="1" s="1"/>
  <c r="N18" i="1" s="1"/>
  <c r="P43" i="1" l="1"/>
  <c r="N45" i="1" s="1"/>
  <c r="I7" i="1"/>
  <c r="I8" i="1"/>
  <c r="I39" i="1"/>
  <c r="D39" i="1"/>
  <c r="F15" i="1"/>
  <c r="K15" i="1" s="1"/>
  <c r="D26" i="1"/>
  <c r="I26" i="1" s="1"/>
  <c r="N26" i="1" s="1"/>
  <c r="N7" i="1" l="1"/>
  <c r="K23" i="6"/>
  <c r="K24" i="6"/>
  <c r="K25" i="6"/>
  <c r="K26" i="6"/>
  <c r="K27" i="6"/>
  <c r="K28" i="6"/>
  <c r="K29" i="6"/>
  <c r="K22" i="6"/>
  <c r="J38" i="6"/>
  <c r="K33" i="6"/>
  <c r="K34" i="6"/>
  <c r="K35" i="6"/>
  <c r="K36" i="6"/>
  <c r="K37" i="6"/>
  <c r="K38" i="6"/>
  <c r="K39" i="6"/>
  <c r="K32" i="6"/>
  <c r="J33" i="6"/>
  <c r="J34" i="6"/>
  <c r="J35" i="6"/>
  <c r="J36" i="6"/>
  <c r="J37" i="6"/>
  <c r="J32" i="6"/>
  <c r="I33" i="6"/>
  <c r="I34" i="6"/>
  <c r="I35" i="6"/>
  <c r="I36" i="6"/>
  <c r="I37" i="6"/>
  <c r="I38" i="6"/>
  <c r="I39" i="6"/>
  <c r="I32" i="6"/>
  <c r="J23" i="6"/>
  <c r="J24" i="6"/>
  <c r="J25" i="6"/>
  <c r="J26" i="6"/>
  <c r="J27" i="6"/>
  <c r="J28" i="6"/>
  <c r="J22" i="6"/>
  <c r="I23" i="6"/>
  <c r="I24" i="6"/>
  <c r="I25" i="6"/>
  <c r="I26" i="6"/>
  <c r="I27" i="6"/>
  <c r="I28" i="6"/>
  <c r="I29" i="6"/>
  <c r="I22" i="6"/>
  <c r="K13" i="6"/>
  <c r="K14" i="6"/>
  <c r="K15" i="6"/>
  <c r="K16" i="6"/>
  <c r="K17" i="6"/>
  <c r="K18" i="6"/>
  <c r="K19" i="6"/>
  <c r="K12" i="6"/>
  <c r="J13" i="6"/>
  <c r="J14" i="6"/>
  <c r="J15" i="6"/>
  <c r="J16" i="6"/>
  <c r="J17" i="6"/>
  <c r="J18" i="6"/>
  <c r="J12" i="6"/>
  <c r="I13" i="6"/>
  <c r="I14" i="6"/>
  <c r="I15" i="6"/>
  <c r="I16" i="6"/>
  <c r="I17" i="6"/>
  <c r="I18" i="6"/>
  <c r="I19" i="6"/>
  <c r="I12" i="6"/>
  <c r="C33" i="6"/>
  <c r="C34" i="6"/>
  <c r="C35" i="6"/>
  <c r="C36" i="6"/>
  <c r="C37" i="6"/>
  <c r="C38" i="6"/>
  <c r="C39" i="6"/>
  <c r="C32" i="6"/>
  <c r="B33" i="6"/>
  <c r="B34" i="6"/>
  <c r="B35" i="6"/>
  <c r="B36" i="6"/>
  <c r="B37" i="6"/>
  <c r="B38" i="6"/>
  <c r="B32" i="6"/>
  <c r="A33" i="6"/>
  <c r="A34" i="6"/>
  <c r="A35" i="6"/>
  <c r="A36" i="6"/>
  <c r="A37" i="6"/>
  <c r="A38" i="6"/>
  <c r="A39" i="6"/>
  <c r="A32" i="6"/>
  <c r="C23" i="6"/>
  <c r="C24" i="6"/>
  <c r="C25" i="6"/>
  <c r="C26" i="6"/>
  <c r="C27" i="6"/>
  <c r="C28" i="6"/>
  <c r="C29" i="6"/>
  <c r="C22" i="6"/>
  <c r="B23" i="6"/>
  <c r="B24" i="6"/>
  <c r="B25" i="6"/>
  <c r="B26" i="6"/>
  <c r="B27" i="6"/>
  <c r="B28" i="6"/>
  <c r="B22" i="6"/>
  <c r="A23" i="6"/>
  <c r="A24" i="6"/>
  <c r="A25" i="6"/>
  <c r="A26" i="6"/>
  <c r="A27" i="6"/>
  <c r="A28" i="6"/>
  <c r="A29" i="6"/>
  <c r="A22" i="6"/>
  <c r="C13" i="6"/>
  <c r="C14" i="6"/>
  <c r="C15" i="6"/>
  <c r="C16" i="6"/>
  <c r="C17" i="6"/>
  <c r="C18" i="6"/>
  <c r="C19" i="6"/>
  <c r="C12" i="6"/>
  <c r="B13" i="6"/>
  <c r="B14" i="6"/>
  <c r="B15" i="6"/>
  <c r="B16" i="6"/>
  <c r="B17" i="6"/>
  <c r="B18" i="6"/>
  <c r="B12" i="6"/>
  <c r="A13" i="6"/>
  <c r="A14" i="6"/>
  <c r="A15" i="6"/>
  <c r="A16" i="6"/>
  <c r="A17" i="6"/>
  <c r="A18" i="6"/>
  <c r="A19" i="6"/>
  <c r="A12" i="6"/>
  <c r="N11" i="1" l="1"/>
  <c r="J15" i="1"/>
  <c r="D10" i="1"/>
  <c r="I11" i="1" s="1"/>
  <c r="D9" i="1"/>
  <c r="B6" i="3"/>
  <c r="M34" i="6"/>
  <c r="M35" i="6"/>
  <c r="M36" i="6"/>
  <c r="M39" i="6"/>
  <c r="M32" i="6"/>
  <c r="M23" i="6"/>
  <c r="M24" i="6"/>
  <c r="M25" i="6"/>
  <c r="M26" i="6"/>
  <c r="M27" i="6"/>
  <c r="M28" i="6"/>
  <c r="M29" i="6"/>
  <c r="M22" i="6"/>
  <c r="M13" i="6"/>
  <c r="M14" i="6"/>
  <c r="M15" i="6"/>
  <c r="M16" i="6"/>
  <c r="M18" i="6"/>
  <c r="M19" i="6"/>
  <c r="E33" i="6"/>
  <c r="E34" i="6"/>
  <c r="E35" i="6"/>
  <c r="E36" i="6"/>
  <c r="E37" i="6"/>
  <c r="E38" i="6"/>
  <c r="E39" i="6"/>
  <c r="E32" i="6"/>
  <c r="E13" i="6"/>
  <c r="E16" i="6"/>
  <c r="E17" i="6"/>
  <c r="E18" i="6"/>
  <c r="E19" i="6"/>
  <c r="E12" i="6"/>
  <c r="E23" i="6"/>
  <c r="E24" i="6"/>
  <c r="E25" i="6"/>
  <c r="E26" i="6"/>
  <c r="E27" i="6"/>
  <c r="E28" i="6"/>
  <c r="E29" i="6"/>
  <c r="E22" i="6"/>
  <c r="E14" i="6"/>
  <c r="E15" i="6"/>
  <c r="M38" i="6"/>
  <c r="M37" i="6"/>
  <c r="M33" i="6"/>
  <c r="M17" i="6"/>
  <c r="M12" i="6"/>
  <c r="D16" i="1"/>
  <c r="I16" i="1" s="1"/>
  <c r="D27" i="1"/>
  <c r="D19" i="1"/>
  <c r="I19" i="1" s="1"/>
  <c r="J9" i="1" l="1"/>
  <c r="J8" i="1"/>
  <c r="J7" i="1"/>
  <c r="J11" i="1" s="1"/>
  <c r="I27" i="1"/>
  <c r="N27" i="1" s="1"/>
  <c r="N19" i="1"/>
  <c r="J10" i="1"/>
  <c r="D15" i="1"/>
  <c r="I15" i="1" s="1"/>
  <c r="D11" i="1"/>
  <c r="A51" i="1"/>
  <c r="A52" i="1"/>
  <c r="A53" i="1"/>
  <c r="A48" i="1"/>
  <c r="A50" i="1"/>
  <c r="D43" i="5"/>
  <c r="K8" i="1" l="1"/>
  <c r="K16" i="1"/>
  <c r="K18" i="1"/>
  <c r="K19" i="1"/>
  <c r="K23" i="1"/>
  <c r="K27" i="1"/>
  <c r="N16" i="1"/>
  <c r="E7" i="1"/>
  <c r="J26" i="1"/>
  <c r="K26" i="1"/>
  <c r="J19" i="1"/>
  <c r="E9" i="1"/>
  <c r="E10" i="1"/>
  <c r="H18" i="5"/>
  <c r="I10" i="5"/>
  <c r="H10" i="5"/>
  <c r="N69" i="1" l="1"/>
  <c r="E28" i="1"/>
  <c r="E17" i="1"/>
  <c r="J16" i="1"/>
  <c r="J18" i="1"/>
  <c r="J23" i="1"/>
  <c r="J27" i="1"/>
  <c r="F28" i="1"/>
  <c r="F17" i="1"/>
  <c r="E23" i="1"/>
  <c r="E16" i="1"/>
  <c r="F23" i="1"/>
  <c r="F19" i="5"/>
  <c r="F20" i="5" s="1"/>
  <c r="E19" i="5"/>
  <c r="E20" i="5" s="1"/>
  <c r="F14" i="5"/>
  <c r="E14" i="5"/>
  <c r="E11" i="5"/>
  <c r="F13" i="5"/>
  <c r="E38" i="5"/>
  <c r="E39" i="5" s="1"/>
  <c r="F11" i="5"/>
  <c r="F38" i="5"/>
  <c r="F39" i="5" s="1"/>
  <c r="E13" i="5"/>
  <c r="O19" i="1"/>
  <c r="O27" i="1"/>
  <c r="O16" i="1"/>
  <c r="O18" i="1"/>
  <c r="O26" i="1"/>
  <c r="P16" i="1"/>
  <c r="P26" i="1"/>
  <c r="P27" i="1"/>
  <c r="P18" i="1"/>
  <c r="P19" i="1"/>
  <c r="E18" i="1"/>
  <c r="E26" i="1"/>
  <c r="E19" i="1"/>
  <c r="E27" i="1"/>
  <c r="F18" i="1"/>
  <c r="F26" i="1"/>
  <c r="F19" i="1"/>
  <c r="F27" i="1"/>
  <c r="F16" i="1"/>
  <c r="E11" i="1"/>
  <c r="D14" i="5"/>
  <c r="D38" i="5"/>
  <c r="D39" i="5" s="1"/>
  <c r="D13" i="5"/>
  <c r="D11" i="5"/>
  <c r="D19" i="5"/>
  <c r="D20" i="5" s="1"/>
  <c r="F15" i="5" l="1"/>
  <c r="E15" i="5"/>
  <c r="D15" i="5"/>
  <c r="D22" i="1" l="1"/>
  <c r="I22" i="1" s="1"/>
  <c r="D24" i="1"/>
  <c r="D25" i="1"/>
  <c r="I25" i="1" s="1"/>
  <c r="N25" i="1" s="1"/>
  <c r="D29" i="1"/>
  <c r="I29" i="1" s="1"/>
  <c r="N29" i="1" s="1"/>
  <c r="D21" i="1"/>
  <c r="K22" i="1" l="1"/>
  <c r="J22" i="1"/>
  <c r="I24" i="1"/>
  <c r="N24" i="1" s="1"/>
  <c r="I21" i="1"/>
  <c r="N22" i="1"/>
  <c r="P22" i="1" s="1"/>
  <c r="O25" i="1"/>
  <c r="P25" i="1"/>
  <c r="J29" i="1"/>
  <c r="K29" i="1"/>
  <c r="K25" i="1"/>
  <c r="J25" i="1"/>
  <c r="O29" i="1"/>
  <c r="P29" i="1"/>
  <c r="E21" i="1"/>
  <c r="F21" i="1"/>
  <c r="E29" i="1"/>
  <c r="F29" i="1"/>
  <c r="E22" i="1"/>
  <c r="F22" i="1"/>
  <c r="E24" i="1"/>
  <c r="F24" i="1"/>
  <c r="E25" i="1"/>
  <c r="F25" i="1"/>
  <c r="D40" i="1"/>
  <c r="I30" i="1" l="1"/>
  <c r="K21" i="1"/>
  <c r="J21" i="1"/>
  <c r="J24" i="1"/>
  <c r="J30" i="1" s="1"/>
  <c r="J43" i="1" s="1"/>
  <c r="I44" i="1" s="1"/>
  <c r="E5" i="5" s="1"/>
  <c r="K24" i="1"/>
  <c r="K30" i="1" s="1"/>
  <c r="O24" i="1"/>
  <c r="P24" i="1"/>
  <c r="N21" i="1"/>
  <c r="N30" i="1" s="1"/>
  <c r="O22" i="1"/>
  <c r="F30" i="1"/>
  <c r="F43" i="1" s="1"/>
  <c r="D45" i="1" s="1"/>
  <c r="E30" i="1"/>
  <c r="E43" i="1" s="1"/>
  <c r="D44" i="1" s="1"/>
  <c r="F44" i="1" s="1"/>
  <c r="K43" i="1" l="1"/>
  <c r="I45" i="1" s="1"/>
  <c r="I54" i="1" s="1"/>
  <c r="O21" i="1"/>
  <c r="O30" i="1" s="1"/>
  <c r="O43" i="1" s="1"/>
  <c r="N44" i="1" s="1"/>
  <c r="P21" i="1"/>
  <c r="P30" i="1" s="1"/>
  <c r="N54" i="1" s="1"/>
  <c r="F5" i="5" l="1"/>
  <c r="F7" i="5" s="1"/>
  <c r="F21" i="5" s="1"/>
  <c r="N64" i="1"/>
  <c r="E12" i="3" s="1"/>
  <c r="I69" i="1"/>
  <c r="F12" i="5"/>
  <c r="F16" i="5" s="1"/>
  <c r="F28" i="5" s="1"/>
  <c r="N70" i="1"/>
  <c r="E7" i="5" l="1"/>
  <c r="I64" i="1"/>
  <c r="D12" i="3" s="1"/>
  <c r="E18" i="3"/>
  <c r="E24" i="3" s="1"/>
  <c r="N6" i="6"/>
  <c r="P19" i="6" s="1"/>
  <c r="F6" i="6"/>
  <c r="D30" i="1"/>
  <c r="D69" i="1" s="1"/>
  <c r="E21" i="5" l="1"/>
  <c r="E12" i="5"/>
  <c r="E16" i="5" s="1"/>
  <c r="P23" i="6"/>
  <c r="P35" i="6"/>
  <c r="P24" i="6"/>
  <c r="P22" i="6"/>
  <c r="P17" i="6"/>
  <c r="P18" i="6"/>
  <c r="P25" i="6"/>
  <c r="P13" i="6"/>
  <c r="P28" i="6"/>
  <c r="P26" i="6"/>
  <c r="P29" i="6"/>
  <c r="P37" i="6"/>
  <c r="P12" i="6"/>
  <c r="P33" i="6"/>
  <c r="P34" i="6"/>
  <c r="P39" i="6"/>
  <c r="P15" i="6"/>
  <c r="P36" i="6"/>
  <c r="P14" i="6"/>
  <c r="P16" i="6"/>
  <c r="P27" i="6"/>
  <c r="P32" i="6"/>
  <c r="P38" i="6"/>
  <c r="H36" i="6"/>
  <c r="H34" i="6"/>
  <c r="H30" i="6"/>
  <c r="H35" i="6"/>
  <c r="H17" i="6"/>
  <c r="H16" i="6"/>
  <c r="H39" i="6"/>
  <c r="H27" i="6"/>
  <c r="H33" i="6"/>
  <c r="H22" i="6"/>
  <c r="H24" i="6"/>
  <c r="H14" i="6"/>
  <c r="H18" i="6"/>
  <c r="H20" i="6"/>
  <c r="H15" i="6"/>
  <c r="H13" i="6"/>
  <c r="H19" i="6"/>
  <c r="H37" i="6"/>
  <c r="H38" i="6"/>
  <c r="H32" i="6"/>
  <c r="H28" i="6"/>
  <c r="H12" i="6"/>
  <c r="H31" i="6"/>
  <c r="H29" i="6"/>
  <c r="H26" i="6"/>
  <c r="H23" i="6"/>
  <c r="H25" i="6"/>
  <c r="H21" i="6"/>
  <c r="D54" i="1"/>
  <c r="D18" i="3" l="1"/>
  <c r="D24" i="3" s="1"/>
  <c r="E28" i="5"/>
  <c r="N7" i="6"/>
  <c r="F7" i="6"/>
  <c r="E11" i="3" l="1"/>
  <c r="N65" i="1" s="1"/>
  <c r="D11" i="3"/>
  <c r="I65" i="1" s="1"/>
  <c r="E6" i="6"/>
  <c r="G15" i="6" s="1"/>
  <c r="M6" i="6"/>
  <c r="I70" i="1"/>
  <c r="D64" i="1"/>
  <c r="C12" i="3" s="1"/>
  <c r="F34" i="5"/>
  <c r="F35" i="5" s="1"/>
  <c r="F40" i="5" s="1"/>
  <c r="F44" i="5" s="1"/>
  <c r="N55" i="1" s="1"/>
  <c r="N56" i="1" s="1"/>
  <c r="D5" i="5"/>
  <c r="D7" i="5" s="1"/>
  <c r="G14" i="6" l="1"/>
  <c r="G29" i="6"/>
  <c r="G36" i="6"/>
  <c r="G25" i="6"/>
  <c r="N74" i="1"/>
  <c r="N3" i="1" s="1"/>
  <c r="G34" i="6"/>
  <c r="G18" i="6"/>
  <c r="G26" i="6"/>
  <c r="G19" i="6"/>
  <c r="G39" i="6"/>
  <c r="G13" i="6"/>
  <c r="G22" i="6"/>
  <c r="G35" i="6"/>
  <c r="G17" i="6"/>
  <c r="G23" i="6"/>
  <c r="G38" i="6"/>
  <c r="G27" i="6"/>
  <c r="G32" i="6"/>
  <c r="G28" i="6"/>
  <c r="G24" i="6"/>
  <c r="G33" i="6"/>
  <c r="G16" i="6"/>
  <c r="G37" i="6"/>
  <c r="C18" i="3"/>
  <c r="C24" i="3" s="1"/>
  <c r="D70" i="1"/>
  <c r="G12" i="6"/>
  <c r="O16" i="6"/>
  <c r="O35" i="6"/>
  <c r="O17" i="6"/>
  <c r="O38" i="6"/>
  <c r="O33" i="6"/>
  <c r="O39" i="6"/>
  <c r="O18" i="6"/>
  <c r="O14" i="6"/>
  <c r="O37" i="6"/>
  <c r="O23" i="6"/>
  <c r="O15" i="6"/>
  <c r="O25" i="6"/>
  <c r="O12" i="6"/>
  <c r="O22" i="6"/>
  <c r="O36" i="6"/>
  <c r="O32" i="6"/>
  <c r="O29" i="6"/>
  <c r="O26" i="6"/>
  <c r="O28" i="6"/>
  <c r="O27" i="6"/>
  <c r="O19" i="6"/>
  <c r="O13" i="6"/>
  <c r="O24" i="6"/>
  <c r="O34" i="6"/>
  <c r="D21" i="5"/>
  <c r="D12" i="5"/>
  <c r="D16" i="5" s="1"/>
  <c r="E7" i="6" l="1"/>
  <c r="C11" i="3"/>
  <c r="M7" i="6"/>
  <c r="D28" i="5"/>
  <c r="E34" i="5" l="1"/>
  <c r="E35" i="5" s="1"/>
  <c r="E40" i="5" s="1"/>
  <c r="E44" i="5" s="1"/>
  <c r="I55" i="1" s="1"/>
  <c r="I56" i="1" s="1"/>
  <c r="I74" i="1" s="1"/>
  <c r="D65" i="1"/>
  <c r="D6" i="6"/>
  <c r="F18" i="6" s="1"/>
  <c r="L6" i="6"/>
  <c r="F29" i="6" l="1"/>
  <c r="F38" i="6"/>
  <c r="F22" i="6"/>
  <c r="F15" i="6"/>
  <c r="F35" i="6"/>
  <c r="F14" i="6"/>
  <c r="F33" i="6"/>
  <c r="F24" i="6"/>
  <c r="F12" i="6"/>
  <c r="F39" i="6"/>
  <c r="F34" i="6"/>
  <c r="F28" i="6"/>
  <c r="F36" i="6"/>
  <c r="F16" i="6"/>
  <c r="F27" i="6"/>
  <c r="F13" i="6"/>
  <c r="N12" i="6"/>
  <c r="N38" i="6"/>
  <c r="N14" i="6"/>
  <c r="N36" i="6"/>
  <c r="N33" i="6"/>
  <c r="N25" i="6"/>
  <c r="N17" i="6"/>
  <c r="N23" i="6"/>
  <c r="N39" i="6"/>
  <c r="N35" i="6"/>
  <c r="N28" i="6"/>
  <c r="N22" i="6"/>
  <c r="N29" i="6"/>
  <c r="N26" i="6"/>
  <c r="N24" i="6"/>
  <c r="N13" i="6"/>
  <c r="N32" i="6"/>
  <c r="N16" i="6"/>
  <c r="N18" i="6"/>
  <c r="N37" i="6"/>
  <c r="N27" i="6"/>
  <c r="N15" i="6"/>
  <c r="N19" i="6"/>
  <c r="N34" i="6"/>
  <c r="F19" i="6"/>
  <c r="F37" i="6"/>
  <c r="F32" i="6"/>
  <c r="F17" i="6"/>
  <c r="F23" i="6"/>
  <c r="F26" i="6"/>
  <c r="F25" i="6"/>
  <c r="D7" i="6" l="1"/>
  <c r="L7" i="6"/>
  <c r="D34" i="5" l="1"/>
  <c r="D35" i="5" s="1"/>
  <c r="D40" i="5" s="1"/>
  <c r="D44" i="5" s="1"/>
  <c r="D55" i="1" s="1"/>
  <c r="D56" i="1" s="1"/>
  <c r="D74" i="1" s="1"/>
  <c r="D3" i="1" l="1"/>
  <c r="I3" i="1" l="1"/>
</calcChain>
</file>

<file path=xl/sharedStrings.xml><?xml version="1.0" encoding="utf-8"?>
<sst xmlns="http://schemas.openxmlformats.org/spreadsheetml/2006/main" count="347" uniqueCount="206">
  <si>
    <t>Federal Withholdings</t>
  </si>
  <si>
    <t xml:space="preserve">Single </t>
  </si>
  <si>
    <t>Married</t>
  </si>
  <si>
    <t>Marital Status</t>
  </si>
  <si>
    <t>Pre-Tax Deductions</t>
  </si>
  <si>
    <t>Other Pre-tax Deductions</t>
  </si>
  <si>
    <t>Total Pre-tax Deductions</t>
  </si>
  <si>
    <t>Federal Taxable Wages</t>
  </si>
  <si>
    <t xml:space="preserve">Total Federal Tax </t>
  </si>
  <si>
    <t>Head of Household</t>
  </si>
  <si>
    <t>State Withholdings</t>
  </si>
  <si>
    <t xml:space="preserve">Marital Status </t>
  </si>
  <si>
    <t>Filing Status - Form W4</t>
  </si>
  <si>
    <t>Number of Exemptions - Form L-4</t>
  </si>
  <si>
    <t>Total State Tax</t>
  </si>
  <si>
    <t xml:space="preserve">Total Net Pay </t>
  </si>
  <si>
    <t>B</t>
  </si>
  <si>
    <t>Exemption and Dependeny in excess of</t>
  </si>
  <si>
    <t>Bracket 2</t>
  </si>
  <si>
    <t>Bracket 3</t>
  </si>
  <si>
    <t>Medicare Tax</t>
  </si>
  <si>
    <t>Post-Tax Deductions</t>
  </si>
  <si>
    <t>Other post-tax deductions</t>
  </si>
  <si>
    <t>Total Post-tax deductions</t>
  </si>
  <si>
    <t xml:space="preserve">Net Check </t>
  </si>
  <si>
    <t>Exemptions</t>
  </si>
  <si>
    <t xml:space="preserve">Married Filing Seperately </t>
  </si>
  <si>
    <t>Head of household</t>
  </si>
  <si>
    <t>2020 Percetnage Method Tables for Automated Payroll Systems</t>
  </si>
  <si>
    <t>*Verify and update each year</t>
  </si>
  <si>
    <t>Step 1</t>
  </si>
  <si>
    <t>Adjust the employee's wage amount:</t>
  </si>
  <si>
    <t>1a.</t>
  </si>
  <si>
    <t>Enter the employee's total taxable wages this payoll period</t>
  </si>
  <si>
    <t>Enter the number of pay periods you have per year</t>
  </si>
  <si>
    <t>1b.</t>
  </si>
  <si>
    <t>1c.</t>
  </si>
  <si>
    <t>Multiply the amount on line 1a by the number on line 1b</t>
  </si>
  <si>
    <t>1d.</t>
  </si>
  <si>
    <t>W4 Form submitted 2020 or later?</t>
  </si>
  <si>
    <t xml:space="preserve">Yes </t>
  </si>
  <si>
    <t>1e.</t>
  </si>
  <si>
    <t>1f.</t>
  </si>
  <si>
    <t>1g.</t>
  </si>
  <si>
    <t>1h.</t>
  </si>
  <si>
    <t>1i.</t>
  </si>
  <si>
    <r>
      <t xml:space="preserve">If the employee </t>
    </r>
    <r>
      <rPr>
        <b/>
        <sz val="11"/>
        <color theme="1"/>
        <rFont val="Calibri"/>
        <family val="2"/>
        <scheme val="minor"/>
      </rPr>
      <t xml:space="preserve">HAS </t>
    </r>
    <r>
      <rPr>
        <sz val="11"/>
        <color theme="1"/>
        <rFont val="Calibri"/>
        <family val="2"/>
        <scheme val="minor"/>
      </rPr>
      <t>submitted a Form W-4 for 2020 or later, figure the Adjusted Annual Wage Amount as follows:</t>
    </r>
  </si>
  <si>
    <r>
      <t xml:space="preserve">If the employee </t>
    </r>
    <r>
      <rPr>
        <b/>
        <sz val="11"/>
        <color theme="1"/>
        <rFont val="Calibri"/>
        <family val="2"/>
        <scheme val="minor"/>
      </rPr>
      <t xml:space="preserve">HAS NOT </t>
    </r>
    <r>
      <rPr>
        <sz val="11"/>
        <color theme="1"/>
        <rFont val="Calibri"/>
        <family val="2"/>
        <scheme val="minor"/>
      </rPr>
      <t>submitted a Form W-4 for 2020 or later, figure the Adjusted Annual Wage Amount as follows:</t>
    </r>
  </si>
  <si>
    <t>1j.</t>
  </si>
  <si>
    <t>1k.</t>
  </si>
  <si>
    <t>1l.</t>
  </si>
  <si>
    <t>Step 2</t>
  </si>
  <si>
    <t>Figure the Tentative Withholding Amount</t>
  </si>
  <si>
    <t>based on the employee's Adjusted Annual Wage Amount; filing status (Step 1(c) of the 2020 Form W-4) or marital status (line 3 of Form W-4 from 2019 or ealier);and whether the box in Step 2 of 2020 Form W-4 is checked.</t>
  </si>
  <si>
    <t>Note: Don't use Head of Household table if the Form W-4 is from 2019 or earlier.</t>
  </si>
  <si>
    <t>2a.</t>
  </si>
  <si>
    <t>2b.</t>
  </si>
  <si>
    <t>2c.</t>
  </si>
  <si>
    <t>2d.</t>
  </si>
  <si>
    <t>2e.</t>
  </si>
  <si>
    <t>2f.</t>
  </si>
  <si>
    <t>2g.</t>
  </si>
  <si>
    <t>2h.</t>
  </si>
  <si>
    <t>Step 3</t>
  </si>
  <si>
    <t>Account for tax credits</t>
  </si>
  <si>
    <t>3a.</t>
  </si>
  <si>
    <t>3b.</t>
  </si>
  <si>
    <t>3c.</t>
  </si>
  <si>
    <t>Step 4</t>
  </si>
  <si>
    <t>Figure the final amount to withhold</t>
  </si>
  <si>
    <t>4a.</t>
  </si>
  <si>
    <t>4b.</t>
  </si>
  <si>
    <t>Add lines 1c and 1d</t>
  </si>
  <si>
    <t>Form submitted after 2020</t>
  </si>
  <si>
    <t xml:space="preserve">Box Check </t>
  </si>
  <si>
    <t>yes/no</t>
  </si>
  <si>
    <t>Add lines 1f and 1g</t>
  </si>
  <si>
    <t>Multipy line 1j by 4,300</t>
  </si>
  <si>
    <t>Enter the number of allwances claimed on the employee's most recent Form W-4</t>
  </si>
  <si>
    <r>
      <t xml:space="preserve">Subtract line 1k from line 1c. If zero or less, enter 0. This is the </t>
    </r>
    <r>
      <rPr>
        <b/>
        <sz val="11"/>
        <color theme="1"/>
        <rFont val="Calibri"/>
        <family val="2"/>
        <scheme val="minor"/>
      </rPr>
      <t>Adjsute Annunal Wage Amount</t>
    </r>
    <r>
      <rPr>
        <sz val="11"/>
        <color theme="1"/>
        <rFont val="Calibri"/>
        <family val="2"/>
        <scheme val="minor"/>
      </rPr>
      <t xml:space="preserve">. </t>
    </r>
  </si>
  <si>
    <r>
      <t xml:space="preserve">Subtract line 1h from line 1e. If zero or less, enter 0. this the </t>
    </r>
    <r>
      <rPr>
        <b/>
        <sz val="11"/>
        <color theme="1"/>
        <rFont val="Calibri"/>
        <family val="2"/>
        <scheme val="minor"/>
      </rPr>
      <t>Adjusted Annual Wage Amount</t>
    </r>
  </si>
  <si>
    <r>
      <t xml:space="preserve">Enter the employee's </t>
    </r>
    <r>
      <rPr>
        <b/>
        <sz val="11"/>
        <color theme="1"/>
        <rFont val="Calibri"/>
        <family val="2"/>
        <scheme val="minor"/>
      </rPr>
      <t>Adjusted Annual Wage Amount</t>
    </r>
    <r>
      <rPr>
        <sz val="11"/>
        <color theme="1"/>
        <rFont val="Calibri"/>
        <family val="2"/>
        <scheme val="minor"/>
      </rPr>
      <t xml:space="preserve"> from line 1i or 1l above</t>
    </r>
  </si>
  <si>
    <t>If the Adjusted Annual Wage Amount (line 2a) is:</t>
  </si>
  <si>
    <t>At least</t>
  </si>
  <si>
    <t>But less than</t>
  </si>
  <si>
    <t>tentative amount to withhold is:</t>
  </si>
  <si>
    <t xml:space="preserve">Plus this percentage </t>
  </si>
  <si>
    <t>of the amount that the Adjusted Annual Wage exceeds</t>
  </si>
  <si>
    <t>D</t>
  </si>
  <si>
    <t>No</t>
  </si>
  <si>
    <t>Use these is the Form W-4 is from 2019 or earlier</t>
  </si>
  <si>
    <t>, or if the Form W-4 is from 2020 or later and the box in Step 2 of Form W-4 is NOT checked.</t>
  </si>
  <si>
    <t>Use these is the Form W-4 is from 2020 or later</t>
  </si>
  <si>
    <r>
      <t xml:space="preserve">and the box in Step 2 of Form W-4 </t>
    </r>
    <r>
      <rPr>
        <b/>
        <sz val="11"/>
        <color theme="1"/>
        <rFont val="Calibri"/>
        <family val="2"/>
        <scheme val="minor"/>
      </rPr>
      <t>IS</t>
    </r>
    <r>
      <rPr>
        <sz val="11"/>
        <color theme="1"/>
        <rFont val="Calibri"/>
        <family val="2"/>
        <scheme val="minor"/>
      </rPr>
      <t xml:space="preserve"> checked.</t>
    </r>
  </si>
  <si>
    <t>Single or Married Filing Separately</t>
  </si>
  <si>
    <t>Married Filing Jointly</t>
  </si>
  <si>
    <t>A</t>
  </si>
  <si>
    <t>C</t>
  </si>
  <si>
    <t>E</t>
  </si>
  <si>
    <t>Tax to withhold</t>
  </si>
  <si>
    <t>Enter the amount from Step 4(b) of the emplyee's Form W-4</t>
  </si>
  <si>
    <t>Enter the amount from Step 4(a) of the employee's Form W-4</t>
  </si>
  <si>
    <r>
      <t xml:space="preserve">Enter the amount from Column C of that row - </t>
    </r>
    <r>
      <rPr>
        <sz val="11"/>
        <color rgb="FFFF0000"/>
        <rFont val="Calibri"/>
        <family val="2"/>
        <scheme val="minor"/>
      </rPr>
      <t xml:space="preserve">calculation is done on next sheet </t>
    </r>
  </si>
  <si>
    <r>
      <t>Enter the percentage from column D of that row-</t>
    </r>
    <r>
      <rPr>
        <sz val="11"/>
        <color rgb="FFFF0000"/>
        <rFont val="Calibri"/>
        <family val="2"/>
        <scheme val="minor"/>
      </rPr>
      <t>calculation is done on next sheet</t>
    </r>
  </si>
  <si>
    <r>
      <t xml:space="preserve">Subtract line 2b from line 2a - </t>
    </r>
    <r>
      <rPr>
        <sz val="11"/>
        <color rgb="FFFF0000"/>
        <rFont val="Calibri"/>
        <family val="2"/>
        <scheme val="minor"/>
      </rPr>
      <t>calcualtion is done on next sheet</t>
    </r>
  </si>
  <si>
    <r>
      <t>Multiply the amount on line 2e by the percentage on line 2d -</t>
    </r>
    <r>
      <rPr>
        <sz val="11"/>
        <color rgb="FFFF0000"/>
        <rFont val="Calibri"/>
        <family val="2"/>
        <scheme val="minor"/>
      </rPr>
      <t>calculation is done on next sheet</t>
    </r>
  </si>
  <si>
    <r>
      <t xml:space="preserve">Add lines 2c and 2f - </t>
    </r>
    <r>
      <rPr>
        <sz val="11"/>
        <color rgb="FFFF0000"/>
        <rFont val="Calibri"/>
        <family val="2"/>
        <scheme val="minor"/>
      </rPr>
      <t>number is pulled in from next sheet</t>
    </r>
  </si>
  <si>
    <r>
      <t>Find the row in the appopriate Annual Percentage Method table in which the amount of line 2a is at least tha amount in clumn A but less the amount in coulmn B, then enter here the amount from column A of that row</t>
    </r>
    <r>
      <rPr>
        <sz val="11"/>
        <color rgb="FFFF0000"/>
        <rFont val="Calibri"/>
        <family val="2"/>
        <scheme val="minor"/>
      </rPr>
      <t xml:space="preserve"> - calculation is done on next sheet</t>
    </r>
  </si>
  <si>
    <t>Divide the amount on line 2g by the number of pay periods on line 1b. This is the Tentative withholding amont</t>
  </si>
  <si>
    <t>If the employee's Form W-4 is from 2020, enter the amount from Step 3of that form; otherwise enter 0.</t>
  </si>
  <si>
    <t>Divide the amount on line 3a by the number of pay periods on line 1b</t>
  </si>
  <si>
    <t>Subtract line 3b from line 2h. If zero or less, enter 0</t>
  </si>
  <si>
    <t>Enter the additional amount to withhold from the employee's Form W-4(Step 4(c) or the 2020 form or line 6 on earlier forms</t>
  </si>
  <si>
    <t xml:space="preserve">Add lines 3c and 4a. This is the amount to withhold formt eh employees wages this pay period </t>
  </si>
  <si>
    <t>Medicare Taxable Wages</t>
  </si>
  <si>
    <t>Per Check</t>
  </si>
  <si>
    <t>Standard Withholding Rate Schedules- Annualized</t>
  </si>
  <si>
    <t>Standard Withholding Rate Schedules-Annualized</t>
  </si>
  <si>
    <t>Standard Withholding Rate Schedules- Per Check</t>
  </si>
  <si>
    <t>Standard Withholding Rate Schedules - Per Check</t>
  </si>
  <si>
    <t xml:space="preserve">Annualized </t>
  </si>
  <si>
    <t xml:space="preserve">Annulized </t>
  </si>
  <si>
    <t>Total Gross Wages</t>
  </si>
  <si>
    <t>403B Pretax</t>
  </si>
  <si>
    <t>457 Pretax</t>
  </si>
  <si>
    <t>Additional Amount to withhold</t>
  </si>
  <si>
    <r>
      <t>If the box in</t>
    </r>
    <r>
      <rPr>
        <b/>
        <sz val="11"/>
        <color theme="1"/>
        <rFont val="Calibri"/>
        <family val="2"/>
        <scheme val="minor"/>
      </rPr>
      <t xml:space="preserve"> Step 2 of Form W-4 is checked, enter 0</t>
    </r>
    <r>
      <rPr>
        <sz val="11"/>
        <color theme="1"/>
        <rFont val="Calibri"/>
        <family val="2"/>
        <scheme val="minor"/>
      </rPr>
      <t>. If the box is not checked, enter $12,900 if the taxpayer is married filing joint or $8,600 other wise</t>
    </r>
  </si>
  <si>
    <t>Monthly</t>
  </si>
  <si>
    <t xml:space="preserve">Monthly </t>
  </si>
  <si>
    <t>If the Adjusted Monthly Wage Amount (line 2a) is:</t>
  </si>
  <si>
    <t>Regular taxable wages (table)</t>
  </si>
  <si>
    <t xml:space="preserve">Regular </t>
  </si>
  <si>
    <t xml:space="preserve">Supplemental </t>
  </si>
  <si>
    <t>Percent of total Pay</t>
  </si>
  <si>
    <t>Supplemental</t>
  </si>
  <si>
    <t xml:space="preserve">Retirement </t>
  </si>
  <si>
    <t>LASERS</t>
  </si>
  <si>
    <t>TRSL</t>
  </si>
  <si>
    <t>ORP</t>
  </si>
  <si>
    <t xml:space="preserve">Retirement Plan </t>
  </si>
  <si>
    <t>Academic Year (10)</t>
  </si>
  <si>
    <t>Academic Year (12)</t>
  </si>
  <si>
    <t>Summer Months  (12)</t>
  </si>
  <si>
    <t>Salary Pay - Academic Payment Deferred</t>
  </si>
  <si>
    <t>Summer Disbursement</t>
  </si>
  <si>
    <t xml:space="preserve">State Taxable </t>
  </si>
  <si>
    <t>LSERS-1</t>
  </si>
  <si>
    <t>LASERS-Haz</t>
  </si>
  <si>
    <t>LASERS - 1</t>
  </si>
  <si>
    <t>LASERS -2</t>
  </si>
  <si>
    <t>LASERS -3</t>
  </si>
  <si>
    <t>LASERS -4</t>
  </si>
  <si>
    <t>Dependents</t>
  </si>
  <si>
    <t xml:space="preserve">Hide </t>
  </si>
  <si>
    <t>Hide</t>
  </si>
  <si>
    <t xml:space="preserve">Gross Pay </t>
  </si>
  <si>
    <t>F</t>
  </si>
  <si>
    <t>Taxable Wages</t>
  </si>
  <si>
    <t>Number of Exemptions</t>
  </si>
  <si>
    <t>Number of Payrolls</t>
  </si>
  <si>
    <t>Total</t>
  </si>
  <si>
    <t>Amount to Withhold</t>
  </si>
  <si>
    <t>Additional Amount you want withheld (Form W-4(Step 4(c) of the 2020 Form or line 6 on earlier forms)</t>
  </si>
  <si>
    <t>ROTH 403B Post tax</t>
  </si>
  <si>
    <t>ROTH 457 Post tax</t>
  </si>
  <si>
    <t>Wellness Credit</t>
  </si>
  <si>
    <t>Additional Pay - Not Retirement Eligible</t>
  </si>
  <si>
    <t>Additional Pay - Retirement Eligible</t>
  </si>
  <si>
    <t>Supplemental taxed at 22%</t>
  </si>
  <si>
    <t>Academic Pay</t>
  </si>
  <si>
    <t xml:space="preserve">Academic Annual Salary </t>
  </si>
  <si>
    <t>OGB Supplemental Life</t>
  </si>
  <si>
    <t>FSA Admin Fee</t>
  </si>
  <si>
    <t>FSA Medical</t>
  </si>
  <si>
    <t>Medical Ins</t>
  </si>
  <si>
    <t>Supplemental Benefits - Post Tax</t>
  </si>
  <si>
    <t>403B Pre Tax</t>
  </si>
  <si>
    <t>457 Pre Tax</t>
  </si>
  <si>
    <t xml:space="preserve">FSA Dependent Spending </t>
  </si>
  <si>
    <t>View withholding elections to get tax election:</t>
  </si>
  <si>
    <r>
      <t xml:space="preserve">View payslip to enter dollar amount in </t>
    </r>
    <r>
      <rPr>
        <b/>
        <i/>
        <sz val="11"/>
        <color rgb="FF3808E8"/>
        <rFont val="Calibri"/>
        <family val="2"/>
        <scheme val="minor"/>
      </rPr>
      <t xml:space="preserve">blue </t>
    </r>
    <r>
      <rPr>
        <b/>
        <i/>
        <sz val="11"/>
        <color theme="1"/>
        <rFont val="Calibri"/>
        <family val="2"/>
        <scheme val="minor"/>
      </rPr>
      <t>highlighted areas:</t>
    </r>
  </si>
  <si>
    <t>Earnings:</t>
  </si>
  <si>
    <t>H.S.A. Ins</t>
  </si>
  <si>
    <t>OGB Dependent Supplemental Life</t>
  </si>
  <si>
    <t>Annual Parking</t>
  </si>
  <si>
    <t>If elected to be paid over 12 paychecks, column I will be paychecks from August to May and column N will represent your June and July paychecks.</t>
  </si>
  <si>
    <t>No Deduction</t>
  </si>
  <si>
    <t>Marial Status</t>
  </si>
  <si>
    <t>H</t>
  </si>
  <si>
    <t>2025 LA Withholding Tables and Formulas</t>
  </si>
  <si>
    <t>No Exemption Credit</t>
  </si>
  <si>
    <t>Single Exemption Credit</t>
  </si>
  <si>
    <t>Married Exemption Credit</t>
  </si>
  <si>
    <t>Percentage</t>
  </si>
  <si>
    <t>3.09% on Taxable wages</t>
  </si>
  <si>
    <t>Exemption Credit/# payperiods</t>
  </si>
  <si>
    <t>Single and "2" exemption</t>
  </si>
  <si>
    <t>Single and "1" exemption</t>
  </si>
  <si>
    <t>Married and "1" exemption</t>
  </si>
  <si>
    <t>Married and "2" exemption</t>
  </si>
  <si>
    <t>Additional withholding amount</t>
  </si>
  <si>
    <t>Medical Insurance PrePay Summer</t>
  </si>
  <si>
    <t>Medical Insurance</t>
  </si>
  <si>
    <t>Lions Advantage - Pre Tax (PrePay)</t>
  </si>
  <si>
    <t>Lions Advantage - Pre Tax</t>
  </si>
  <si>
    <t>OGB Supplemental Life PrePay Summer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</si>
</sst>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3808E8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6" fillId="0" borderId="0"/>
    <xf numFmtId="9" fontId="7" fillId="0" borderId="0" applyFont="0" applyFill="0" applyBorder="0" applyAlignment="0" applyProtection="0"/>
    <xf numFmtId="0" fontId="7" fillId="0" borderId="0" applyNumberFormat="0" applyFill="0" applyBorder="0" applyProtection="0"/>
    <xf numFmtId="43" fontId="10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/>
    <xf numFmtId="0" fontId="4" fillId="0" borderId="0" xfId="0" applyFont="1"/>
    <xf numFmtId="2" fontId="0" fillId="0" borderId="0" xfId="0" applyNumberFormat="1"/>
    <xf numFmtId="0" fontId="0" fillId="2" borderId="0" xfId="0" applyFill="1"/>
    <xf numFmtId="0" fontId="0" fillId="3" borderId="0" xfId="0" applyFill="1"/>
    <xf numFmtId="10" fontId="0" fillId="0" borderId="0" xfId="0" applyNumberFormat="1"/>
    <xf numFmtId="0" fontId="3" fillId="2" borderId="0" xfId="0" applyFont="1" applyFill="1"/>
    <xf numFmtId="3" fontId="0" fillId="2" borderId="0" xfId="0" applyNumberFormat="1" applyFill="1"/>
    <xf numFmtId="2" fontId="0" fillId="0" borderId="0" xfId="0" applyNumberFormat="1" applyAlignment="1">
      <alignment horizontal="right"/>
    </xf>
    <xf numFmtId="2" fontId="0" fillId="0" borderId="1" xfId="0" applyNumberFormat="1" applyBorder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2" fontId="0" fillId="0" borderId="1" xfId="0" applyNumberFormat="1" applyBorder="1" applyAlignment="1">
      <alignment horizontal="right" wrapText="1"/>
    </xf>
    <xf numFmtId="3" fontId="0" fillId="2" borderId="0" xfId="0" applyNumberFormat="1" applyFill="1" applyAlignment="1">
      <alignment wrapText="1"/>
    </xf>
    <xf numFmtId="4" fontId="0" fillId="0" borderId="0" xfId="0" applyNumberFormat="1"/>
    <xf numFmtId="0" fontId="4" fillId="0" borderId="0" xfId="0" applyFont="1" applyAlignment="1">
      <alignment horizontal="center"/>
    </xf>
    <xf numFmtId="5" fontId="6" fillId="0" borderId="2" xfId="1" applyNumberFormat="1" applyBorder="1"/>
    <xf numFmtId="5" fontId="6" fillId="0" borderId="0" xfId="1" applyNumberFormat="1"/>
    <xf numFmtId="7" fontId="6" fillId="0" borderId="0" xfId="1" applyNumberFormat="1"/>
    <xf numFmtId="9" fontId="6" fillId="0" borderId="0" xfId="2" applyFont="1" applyBorder="1"/>
    <xf numFmtId="5" fontId="7" fillId="0" borderId="3" xfId="3" applyNumberFormat="1" applyBorder="1"/>
    <xf numFmtId="9" fontId="6" fillId="0" borderId="0" xfId="1" applyNumberFormat="1"/>
    <xf numFmtId="5" fontId="6" fillId="0" borderId="5" xfId="1" applyNumberFormat="1" applyBorder="1"/>
    <xf numFmtId="9" fontId="6" fillId="0" borderId="5" xfId="1" applyNumberFormat="1" applyBorder="1"/>
    <xf numFmtId="5" fontId="7" fillId="0" borderId="6" xfId="3" applyNumberFormat="1" applyBorder="1"/>
    <xf numFmtId="0" fontId="6" fillId="4" borderId="2" xfId="1" applyFill="1" applyBorder="1" applyAlignment="1">
      <alignment horizontal="centerContinuous"/>
    </xf>
    <xf numFmtId="0" fontId="6" fillId="4" borderId="0" xfId="1" applyFill="1" applyAlignment="1">
      <alignment horizontal="centerContinuous"/>
    </xf>
    <xf numFmtId="0" fontId="6" fillId="4" borderId="3" xfId="1" applyFill="1" applyBorder="1" applyAlignment="1">
      <alignment horizontal="centerContinuous"/>
    </xf>
    <xf numFmtId="0" fontId="8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2" fontId="0" fillId="0" borderId="1" xfId="0" applyNumberFormat="1" applyBorder="1" applyAlignment="1">
      <alignment horizontal="right"/>
    </xf>
    <xf numFmtId="1" fontId="0" fillId="0" borderId="0" xfId="0" applyNumberFormat="1"/>
    <xf numFmtId="2" fontId="0" fillId="0" borderId="0" xfId="0" applyNumberForma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0" fillId="5" borderId="0" xfId="0" applyFill="1"/>
    <xf numFmtId="2" fontId="0" fillId="5" borderId="0" xfId="0" applyNumberFormat="1" applyFill="1"/>
    <xf numFmtId="2" fontId="0" fillId="6" borderId="0" xfId="0" applyNumberFormat="1" applyFill="1"/>
    <xf numFmtId="2" fontId="0" fillId="7" borderId="0" xfId="0" applyNumberFormat="1" applyFill="1"/>
    <xf numFmtId="2" fontId="0" fillId="8" borderId="0" xfId="0" applyNumberFormat="1" applyFill="1"/>
    <xf numFmtId="4" fontId="0" fillId="8" borderId="0" xfId="0" applyNumberFormat="1" applyFill="1"/>
    <xf numFmtId="4" fontId="0" fillId="9" borderId="0" xfId="0" applyNumberFormat="1" applyFill="1"/>
    <xf numFmtId="2" fontId="0" fillId="9" borderId="0" xfId="0" applyNumberFormat="1" applyFill="1" applyAlignment="1">
      <alignment horizontal="left"/>
    </xf>
    <xf numFmtId="0" fontId="0" fillId="8" borderId="0" xfId="0" applyFill="1"/>
    <xf numFmtId="0" fontId="0" fillId="9" borderId="0" xfId="0" applyFill="1"/>
    <xf numFmtId="0" fontId="0" fillId="0" borderId="0" xfId="0" applyAlignment="1">
      <alignment horizontal="left"/>
    </xf>
    <xf numFmtId="9" fontId="0" fillId="0" borderId="0" xfId="0" applyNumberFormat="1"/>
    <xf numFmtId="4" fontId="3" fillId="0" borderId="0" xfId="0" applyNumberFormat="1" applyFont="1"/>
    <xf numFmtId="2" fontId="3" fillId="0" borderId="0" xfId="0" applyNumberFormat="1" applyFont="1"/>
    <xf numFmtId="2" fontId="4" fillId="5" borderId="0" xfId="0" applyNumberFormat="1" applyFont="1" applyFill="1" applyAlignment="1">
      <alignment horizontal="center"/>
    </xf>
    <xf numFmtId="4" fontId="3" fillId="5" borderId="0" xfId="0" applyNumberFormat="1" applyFont="1" applyFill="1"/>
    <xf numFmtId="2" fontId="3" fillId="5" borderId="0" xfId="0" applyNumberFormat="1" applyFont="1" applyFill="1"/>
    <xf numFmtId="2" fontId="0" fillId="0" borderId="12" xfId="0" applyNumberFormat="1" applyBorder="1"/>
    <xf numFmtId="0" fontId="0" fillId="7" borderId="0" xfId="0" applyFill="1"/>
    <xf numFmtId="4" fontId="0" fillId="7" borderId="0" xfId="0" applyNumberFormat="1" applyFill="1"/>
    <xf numFmtId="2" fontId="0" fillId="13" borderId="0" xfId="0" applyNumberFormat="1" applyFill="1"/>
    <xf numFmtId="0" fontId="0" fillId="13" borderId="0" xfId="0" applyFill="1"/>
    <xf numFmtId="4" fontId="0" fillId="14" borderId="0" xfId="0" applyNumberFormat="1" applyFill="1"/>
    <xf numFmtId="2" fontId="0" fillId="14" borderId="0" xfId="0" applyNumberFormat="1" applyFill="1"/>
    <xf numFmtId="0" fontId="0" fillId="12" borderId="0" xfId="0" applyFill="1"/>
    <xf numFmtId="0" fontId="1" fillId="13" borderId="0" xfId="0" applyFont="1" applyFill="1" applyAlignment="1">
      <alignment vertical="center"/>
    </xf>
    <xf numFmtId="0" fontId="0" fillId="0" borderId="0" xfId="0" applyAlignment="1">
      <alignment horizontal="right"/>
    </xf>
    <xf numFmtId="2" fontId="0" fillId="5" borderId="12" xfId="0" applyNumberFormat="1" applyFill="1" applyBorder="1"/>
    <xf numFmtId="7" fontId="6" fillId="15" borderId="0" xfId="1" applyNumberFormat="1" applyFill="1"/>
    <xf numFmtId="7" fontId="6" fillId="15" borderId="5" xfId="1" applyNumberFormat="1" applyFill="1" applyBorder="1"/>
    <xf numFmtId="5" fontId="6" fillId="15" borderId="2" xfId="1" applyNumberFormat="1" applyFill="1" applyBorder="1"/>
    <xf numFmtId="5" fontId="6" fillId="15" borderId="4" xfId="1" applyNumberFormat="1" applyFill="1" applyBorder="1"/>
    <xf numFmtId="10" fontId="0" fillId="2" borderId="0" xfId="0" applyNumberFormat="1" applyFill="1"/>
    <xf numFmtId="10" fontId="0" fillId="0" borderId="0" xfId="0" applyNumberFormat="1" applyAlignment="1">
      <alignment horizontal="right"/>
    </xf>
    <xf numFmtId="0" fontId="0" fillId="2" borderId="0" xfId="0" applyFill="1" applyProtection="1">
      <protection locked="0"/>
    </xf>
    <xf numFmtId="0" fontId="0" fillId="0" borderId="14" xfId="0" applyBorder="1"/>
    <xf numFmtId="43" fontId="0" fillId="0" borderId="0" xfId="4" applyFont="1"/>
    <xf numFmtId="43" fontId="3" fillId="0" borderId="0" xfId="4" applyFont="1"/>
    <xf numFmtId="43" fontId="0" fillId="2" borderId="0" xfId="4" applyFont="1" applyFill="1" applyProtection="1">
      <protection locked="0"/>
    </xf>
    <xf numFmtId="43" fontId="0" fillId="0" borderId="0" xfId="4" applyFont="1" applyFill="1"/>
    <xf numFmtId="1" fontId="0" fillId="2" borderId="0" xfId="4" applyNumberFormat="1" applyFont="1" applyFill="1" applyProtection="1">
      <protection locked="0"/>
    </xf>
    <xf numFmtId="164" fontId="0" fillId="2" borderId="0" xfId="4" applyNumberFormat="1" applyFont="1" applyFill="1" applyProtection="1">
      <protection locked="0"/>
    </xf>
    <xf numFmtId="0" fontId="11" fillId="16" borderId="0" xfId="0" applyFont="1" applyFill="1"/>
    <xf numFmtId="43" fontId="4" fillId="0" borderId="8" xfId="4" applyFont="1" applyBorder="1" applyAlignment="1">
      <alignment horizontal="center"/>
    </xf>
    <xf numFmtId="43" fontId="3" fillId="7" borderId="11" xfId="4" applyFont="1" applyFill="1" applyBorder="1"/>
    <xf numFmtId="43" fontId="0" fillId="0" borderId="7" xfId="4" applyFont="1" applyBorder="1"/>
    <xf numFmtId="43" fontId="0" fillId="0" borderId="9" xfId="4" applyFont="1" applyBorder="1"/>
    <xf numFmtId="43" fontId="0" fillId="0" borderId="8" xfId="4" applyFont="1" applyBorder="1"/>
    <xf numFmtId="43" fontId="3" fillId="0" borderId="7" xfId="4" applyFont="1" applyBorder="1"/>
    <xf numFmtId="43" fontId="0" fillId="0" borderId="7" xfId="4" applyFont="1" applyFill="1" applyBorder="1"/>
    <xf numFmtId="43" fontId="0" fillId="0" borderId="8" xfId="4" applyFont="1" applyFill="1" applyBorder="1"/>
    <xf numFmtId="43" fontId="3" fillId="7" borderId="7" xfId="4" applyFont="1" applyFill="1" applyBorder="1"/>
    <xf numFmtId="43" fontId="3" fillId="7" borderId="10" xfId="4" applyFont="1" applyFill="1" applyBorder="1"/>
    <xf numFmtId="43" fontId="4" fillId="0" borderId="13" xfId="4" applyFont="1" applyBorder="1" applyAlignment="1">
      <alignment horizontal="center"/>
    </xf>
    <xf numFmtId="43" fontId="0" fillId="0" borderId="9" xfId="4" applyFont="1" applyFill="1" applyBorder="1"/>
    <xf numFmtId="165" fontId="0" fillId="0" borderId="0" xfId="4" applyNumberFormat="1" applyFont="1"/>
    <xf numFmtId="0" fontId="0" fillId="16" borderId="0" xfId="0" applyFill="1"/>
    <xf numFmtId="43" fontId="0" fillId="16" borderId="0" xfId="4" applyFont="1" applyFill="1"/>
    <xf numFmtId="2" fontId="0" fillId="16" borderId="0" xfId="0" applyNumberFormat="1" applyFill="1"/>
    <xf numFmtId="0" fontId="3" fillId="16" borderId="0" xfId="0" applyFont="1" applyFill="1"/>
    <xf numFmtId="43" fontId="0" fillId="2" borderId="7" xfId="4" applyFont="1" applyFill="1" applyBorder="1" applyProtection="1">
      <protection locked="0"/>
    </xf>
    <xf numFmtId="43" fontId="0" fillId="2" borderId="8" xfId="4" applyFont="1" applyFill="1" applyBorder="1" applyProtection="1">
      <protection locked="0"/>
    </xf>
    <xf numFmtId="43" fontId="0" fillId="0" borderId="0" xfId="0" applyNumberFormat="1" applyAlignment="1">
      <alignment horizontal="right"/>
    </xf>
    <xf numFmtId="0" fontId="0" fillId="17" borderId="0" xfId="0" applyFill="1" applyAlignment="1">
      <alignment horizontal="right"/>
    </xf>
    <xf numFmtId="43" fontId="0" fillId="8" borderId="0" xfId="0" applyNumberFormat="1" applyFill="1" applyAlignment="1">
      <alignment horizontal="right"/>
    </xf>
    <xf numFmtId="43" fontId="0" fillId="17" borderId="0" xfId="0" applyNumberFormat="1" applyFill="1" applyAlignment="1">
      <alignment horizontal="right"/>
    </xf>
    <xf numFmtId="0" fontId="0" fillId="18" borderId="0" xfId="0" applyFill="1"/>
    <xf numFmtId="0" fontId="0" fillId="0" borderId="0" xfId="0" applyFill="1" applyAlignment="1">
      <alignment horizontal="right"/>
    </xf>
    <xf numFmtId="3" fontId="0" fillId="0" borderId="0" xfId="0" applyNumberFormat="1" applyFill="1" applyAlignment="1">
      <alignment horizontal="right"/>
    </xf>
    <xf numFmtId="0" fontId="0" fillId="19" borderId="0" xfId="0" applyFill="1"/>
    <xf numFmtId="1" fontId="0" fillId="19" borderId="0" xfId="0" applyNumberFormat="1" applyFill="1" applyAlignment="1">
      <alignment horizontal="right"/>
    </xf>
    <xf numFmtId="0" fontId="3" fillId="18" borderId="0" xfId="0" applyFont="1" applyFill="1"/>
    <xf numFmtId="10" fontId="0" fillId="18" borderId="0" xfId="0" applyNumberFormat="1" applyFill="1"/>
    <xf numFmtId="3" fontId="0" fillId="18" borderId="0" xfId="0" applyNumberFormat="1" applyFill="1"/>
    <xf numFmtId="43" fontId="0" fillId="18" borderId="7" xfId="4" applyFont="1" applyFill="1" applyBorder="1"/>
    <xf numFmtId="2" fontId="0" fillId="18" borderId="0" xfId="0" applyNumberFormat="1" applyFill="1"/>
    <xf numFmtId="43" fontId="0" fillId="7" borderId="0" xfId="0" applyNumberFormat="1" applyFill="1" applyAlignment="1">
      <alignment horizontal="right"/>
    </xf>
    <xf numFmtId="43" fontId="0" fillId="13" borderId="0" xfId="0" applyNumberFormat="1" applyFill="1" applyAlignment="1">
      <alignment horizontal="right"/>
    </xf>
    <xf numFmtId="2" fontId="4" fillId="11" borderId="2" xfId="0" applyNumberFormat="1" applyFont="1" applyFill="1" applyBorder="1" applyAlignment="1">
      <alignment horizontal="center"/>
    </xf>
    <xf numFmtId="2" fontId="4" fillId="11" borderId="0" xfId="0" applyNumberFormat="1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10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/>
    </xf>
  </cellXfs>
  <cellStyles count="5">
    <cellStyle name="Comma" xfId="4" builtinId="3"/>
    <cellStyle name="Normal" xfId="0" builtinId="0"/>
    <cellStyle name="Normal 2 2" xfId="1" xr:uid="{00000000-0005-0000-0000-000002000000}"/>
    <cellStyle name="Normal 3" xfId="3" xr:uid="{00000000-0005-0000-0000-000003000000}"/>
    <cellStyle name="Percent 2" xfId="2" xr:uid="{00000000-0005-0000-0000-000004000000}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380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6" totalsRowShown="0">
  <autoFilter ref="A1:A6" xr:uid="{00000000-0009-0000-0100-000001000000}"/>
  <tableColumns count="1">
    <tableColumn id="1" xr3:uid="{00000000-0010-0000-0000-000001000000}" name="Marital Statu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5" displayName="Table5" ref="C1:C4" totalsRowShown="0">
  <autoFilter ref="C1:C4" xr:uid="{00000000-0009-0000-0100-000005000000}"/>
  <tableColumns count="1">
    <tableColumn id="1" xr3:uid="{00000000-0010-0000-0100-000001000000}" name="Exemption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e6" displayName="Table6" ref="E1:E3" totalsRowShown="0">
  <autoFilter ref="E1:E3" xr:uid="{00000000-0009-0000-0100-000006000000}"/>
  <tableColumns count="1">
    <tableColumn id="1" xr3:uid="{00000000-0010-0000-0200-000001000000}" name="yes/n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4"/>
  <sheetViews>
    <sheetView tabSelected="1" workbookViewId="0">
      <selection activeCell="C61" sqref="C61"/>
    </sheetView>
  </sheetViews>
  <sheetFormatPr defaultColWidth="8.85546875" defaultRowHeight="15" x14ac:dyDescent="0.25"/>
  <cols>
    <col min="1" max="1" width="57.42578125" bestFit="1" customWidth="1"/>
    <col min="2" max="2" width="9.7109375" bestFit="1" customWidth="1"/>
    <col min="3" max="3" width="14" style="75" bestFit="1" customWidth="1"/>
    <col min="4" max="4" width="18.140625" style="75" bestFit="1" customWidth="1"/>
    <col min="5" max="5" width="22.140625" style="3" hidden="1" customWidth="1"/>
    <col min="6" max="6" width="24.28515625" style="3" hidden="1" customWidth="1"/>
    <col min="7" max="7" width="2.28515625" style="3" customWidth="1"/>
    <col min="8" max="8" width="46.42578125" bestFit="1" customWidth="1"/>
    <col min="9" max="9" width="18.140625" style="75" bestFit="1" customWidth="1"/>
    <col min="10" max="10" width="22.140625" style="3" hidden="1" customWidth="1"/>
    <col min="11" max="11" width="24.28515625" style="3" hidden="1" customWidth="1"/>
    <col min="12" max="12" width="2.42578125" style="3" customWidth="1"/>
    <col min="13" max="13" width="46.42578125" bestFit="1" customWidth="1"/>
    <col min="14" max="14" width="20.28515625" style="75" bestFit="1" customWidth="1"/>
    <col min="15" max="15" width="22.140625" style="3" hidden="1" customWidth="1"/>
    <col min="16" max="16" width="24.28515625" style="3" hidden="1" customWidth="1"/>
    <col min="17" max="17" width="2.42578125" style="3" customWidth="1"/>
  </cols>
  <sheetData>
    <row r="1" spans="1:17" x14ac:dyDescent="0.25">
      <c r="A1" s="81" t="s">
        <v>180</v>
      </c>
      <c r="H1" s="98" t="s">
        <v>185</v>
      </c>
      <c r="I1" s="96"/>
      <c r="J1" s="97"/>
      <c r="K1" s="97"/>
      <c r="L1" s="97"/>
      <c r="M1" s="95"/>
      <c r="N1" s="96"/>
    </row>
    <row r="2" spans="1:17" ht="15.75" thickBot="1" x14ac:dyDescent="0.3">
      <c r="D2" s="82" t="s">
        <v>140</v>
      </c>
      <c r="E2" s="117" t="s">
        <v>153</v>
      </c>
      <c r="F2" s="118"/>
      <c r="G2" s="53"/>
      <c r="I2" s="82" t="s">
        <v>141</v>
      </c>
      <c r="J2" s="117" t="s">
        <v>153</v>
      </c>
      <c r="K2" s="118"/>
      <c r="L2" s="53"/>
      <c r="N2" s="92" t="s">
        <v>142</v>
      </c>
      <c r="O2" s="117" t="s">
        <v>154</v>
      </c>
      <c r="P2" s="118"/>
      <c r="Q2" s="53"/>
    </row>
    <row r="3" spans="1:17" ht="16.5" thickTop="1" thickBot="1" x14ac:dyDescent="0.3">
      <c r="A3" s="1" t="s">
        <v>15</v>
      </c>
      <c r="C3" s="76"/>
      <c r="D3" s="83" t="e">
        <f>D74</f>
        <v>#DIV/0!</v>
      </c>
      <c r="E3" s="51"/>
      <c r="F3" s="51"/>
      <c r="G3" s="54"/>
      <c r="H3" s="1" t="s">
        <v>15</v>
      </c>
      <c r="I3" s="83" t="e">
        <f>I74</f>
        <v>#DIV/0!</v>
      </c>
      <c r="J3" s="51"/>
      <c r="K3" s="51"/>
      <c r="L3" s="54"/>
      <c r="M3" s="1" t="s">
        <v>15</v>
      </c>
      <c r="N3" s="83" t="e">
        <f>N74</f>
        <v>#DIV/0!</v>
      </c>
      <c r="O3" s="51"/>
      <c r="P3" s="51"/>
      <c r="Q3" s="54"/>
    </row>
    <row r="4" spans="1:17" ht="15.75" thickTop="1" x14ac:dyDescent="0.25">
      <c r="D4" s="84"/>
      <c r="G4" s="40"/>
      <c r="I4" s="84"/>
      <c r="L4" s="40"/>
      <c r="N4" s="84"/>
      <c r="Q4" s="40"/>
    </row>
    <row r="5" spans="1:17" x14ac:dyDescent="0.25">
      <c r="A5" s="2" t="s">
        <v>181</v>
      </c>
      <c r="D5" s="84"/>
      <c r="G5" s="40"/>
      <c r="I5" s="84"/>
      <c r="L5" s="40"/>
      <c r="N5" s="84"/>
      <c r="Q5" s="40"/>
    </row>
    <row r="6" spans="1:17" x14ac:dyDescent="0.25">
      <c r="A6" t="s">
        <v>169</v>
      </c>
      <c r="C6" s="77"/>
      <c r="D6" s="84"/>
      <c r="E6" t="s">
        <v>133</v>
      </c>
      <c r="G6" s="40"/>
      <c r="H6" s="2"/>
      <c r="I6" s="84"/>
      <c r="J6" t="s">
        <v>133</v>
      </c>
      <c r="L6" s="40"/>
      <c r="N6" s="84"/>
      <c r="O6"/>
      <c r="Q6" s="40"/>
    </row>
    <row r="7" spans="1:17" x14ac:dyDescent="0.25">
      <c r="A7" t="s">
        <v>170</v>
      </c>
      <c r="C7" s="78">
        <f>C6*10</f>
        <v>0</v>
      </c>
      <c r="D7" s="85">
        <f>C7/10</f>
        <v>0</v>
      </c>
      <c r="E7" s="50" t="e">
        <f>D7/D11</f>
        <v>#DIV/0!</v>
      </c>
      <c r="G7" s="40"/>
      <c r="H7" t="s">
        <v>155</v>
      </c>
      <c r="I7" s="85">
        <f>C7/10</f>
        <v>0</v>
      </c>
      <c r="J7" s="50" t="e">
        <f>I7/I11</f>
        <v>#DIV/0!</v>
      </c>
      <c r="L7" s="40"/>
      <c r="M7" t="s">
        <v>144</v>
      </c>
      <c r="N7" s="93">
        <f>(I8*10*-1)/2</f>
        <v>0</v>
      </c>
      <c r="O7" s="50"/>
      <c r="Q7" s="40"/>
    </row>
    <row r="8" spans="1:17" x14ac:dyDescent="0.25">
      <c r="C8" s="78"/>
      <c r="D8" s="84"/>
      <c r="E8" s="50"/>
      <c r="G8" s="40"/>
      <c r="H8" t="s">
        <v>143</v>
      </c>
      <c r="I8" s="88">
        <f>(C7/10)*16.666666%*-1</f>
        <v>0</v>
      </c>
      <c r="J8" s="50" t="e">
        <f>I8/I11</f>
        <v>#DIV/0!</v>
      </c>
      <c r="K8" s="50" t="e">
        <f>J7+J8</f>
        <v>#DIV/0!</v>
      </c>
      <c r="L8" s="40"/>
      <c r="N8" s="84"/>
      <c r="O8" s="50"/>
      <c r="Q8" s="40"/>
    </row>
    <row r="9" spans="1:17" x14ac:dyDescent="0.25">
      <c r="A9" t="s">
        <v>167</v>
      </c>
      <c r="C9" s="77"/>
      <c r="D9" s="84">
        <f>C9</f>
        <v>0</v>
      </c>
      <c r="E9" s="50" t="e">
        <f>D9/D11</f>
        <v>#DIV/0!</v>
      </c>
      <c r="G9" s="40"/>
      <c r="H9" t="s">
        <v>167</v>
      </c>
      <c r="I9" s="84">
        <f>C9</f>
        <v>0</v>
      </c>
      <c r="J9" s="50" t="e">
        <f>I9/I11</f>
        <v>#DIV/0!</v>
      </c>
      <c r="L9" s="40"/>
      <c r="M9" t="s">
        <v>167</v>
      </c>
      <c r="N9" s="99"/>
      <c r="O9" s="50"/>
      <c r="Q9" s="40"/>
    </row>
    <row r="10" spans="1:17" ht="15.75" thickBot="1" x14ac:dyDescent="0.3">
      <c r="A10" t="s">
        <v>166</v>
      </c>
      <c r="C10" s="77"/>
      <c r="D10" s="86">
        <f>C10</f>
        <v>0</v>
      </c>
      <c r="E10" s="50" t="e">
        <f>D10/D11</f>
        <v>#DIV/0!</v>
      </c>
      <c r="G10" s="40"/>
      <c r="H10" t="s">
        <v>166</v>
      </c>
      <c r="I10" s="86">
        <f>C10</f>
        <v>0</v>
      </c>
      <c r="J10" s="50" t="e">
        <f>I10/I11</f>
        <v>#DIV/0!</v>
      </c>
      <c r="L10" s="40"/>
      <c r="M10" t="s">
        <v>166</v>
      </c>
      <c r="N10" s="100"/>
      <c r="O10" s="50"/>
      <c r="Q10" s="40"/>
    </row>
    <row r="11" spans="1:17" ht="15.75" thickTop="1" x14ac:dyDescent="0.25">
      <c r="A11" t="s">
        <v>122</v>
      </c>
      <c r="D11" s="87">
        <f>SUM(D7:D10)</f>
        <v>0</v>
      </c>
      <c r="E11" s="50" t="e">
        <f>SUM(E7:E10)</f>
        <v>#DIV/0!</v>
      </c>
      <c r="F11" s="52"/>
      <c r="G11" s="55"/>
      <c r="H11" t="s">
        <v>122</v>
      </c>
      <c r="I11" s="87">
        <f>SUM(I7:I10)</f>
        <v>0</v>
      </c>
      <c r="J11" s="50" t="e">
        <f>SUM(J7:J10)</f>
        <v>#DIV/0!</v>
      </c>
      <c r="K11" s="52"/>
      <c r="L11" s="55"/>
      <c r="M11" t="s">
        <v>122</v>
      </c>
      <c r="N11" s="87">
        <f>SUM(N7:N10)</f>
        <v>0</v>
      </c>
      <c r="O11" s="50"/>
      <c r="P11" s="52"/>
      <c r="Q11" s="55"/>
    </row>
    <row r="12" spans="1:17" x14ac:dyDescent="0.25">
      <c r="D12" s="84"/>
      <c r="G12" s="40"/>
      <c r="I12" s="84"/>
      <c r="L12" s="40"/>
      <c r="N12" s="84"/>
      <c r="Q12" s="40"/>
    </row>
    <row r="13" spans="1:17" x14ac:dyDescent="0.25">
      <c r="D13" s="84"/>
      <c r="G13" s="40"/>
      <c r="I13" s="84"/>
      <c r="L13" s="40"/>
      <c r="N13" s="84"/>
      <c r="Q13" s="40"/>
    </row>
    <row r="14" spans="1:17" x14ac:dyDescent="0.25">
      <c r="A14" s="2" t="s">
        <v>4</v>
      </c>
      <c r="D14" s="84"/>
      <c r="E14" s="3" t="s">
        <v>131</v>
      </c>
      <c r="F14" s="3" t="s">
        <v>132</v>
      </c>
      <c r="G14" s="40"/>
      <c r="H14" s="2" t="s">
        <v>4</v>
      </c>
      <c r="I14" s="84"/>
      <c r="J14" s="3" t="s">
        <v>131</v>
      </c>
      <c r="K14" s="3" t="s">
        <v>132</v>
      </c>
      <c r="L14" s="40"/>
      <c r="M14" s="2" t="s">
        <v>4</v>
      </c>
      <c r="N14" s="84"/>
      <c r="O14" s="3" t="s">
        <v>131</v>
      </c>
      <c r="P14" s="3" t="s">
        <v>132</v>
      </c>
      <c r="Q14" s="40"/>
    </row>
    <row r="15" spans="1:17" x14ac:dyDescent="0.25">
      <c r="A15" t="s">
        <v>139</v>
      </c>
      <c r="B15" s="73"/>
      <c r="C15" s="78">
        <f>IF(B15='Filing Status'!H2,'Filing Status'!I2,
IF('Pay Check Comparision'!B15='Filing Status'!H3,'Filing Status'!I3,
IF('Pay Check Comparision'!B15='Filing Status'!H4,'Filing Status'!I4,
IF('Pay Check Comparision'!B15='Filing Status'!H5,'Filing Status'!I5,
IF('Pay Check Comparision'!B15='Filing Status'!H6,'Filing Status'!I6,
IF('Pay Check Comparision'!B15='Filing Status'!H7,'Filing Status'!I7,
IF('Pay Check Comparision'!B15='Filing Status'!H8,'Filing Status'!I8,
IF('Pay Check Comparision'!B15='Filing Status'!H9,'Filing Status'!I9,
IF('Pay Check Comparision'!B15='Filing Status'!H10,'Filing Status'!I10,
0)))))))))</f>
        <v>0</v>
      </c>
      <c r="D15" s="88">
        <f>(D7+D9)*C15*-1</f>
        <v>0</v>
      </c>
      <c r="E15" s="3">
        <f>D7*C15*-1</f>
        <v>0</v>
      </c>
      <c r="F15" s="3">
        <f>C9*C15*-1</f>
        <v>0</v>
      </c>
      <c r="G15" s="40"/>
      <c r="H15" t="s">
        <v>139</v>
      </c>
      <c r="I15" s="88">
        <f>D15</f>
        <v>0</v>
      </c>
      <c r="J15" s="3">
        <f>E15</f>
        <v>0</v>
      </c>
      <c r="K15" s="3">
        <f>F15</f>
        <v>0</v>
      </c>
      <c r="L15" s="40"/>
      <c r="M15" t="s">
        <v>139</v>
      </c>
      <c r="N15" s="88">
        <f>N9*C15</f>
        <v>0</v>
      </c>
      <c r="O15" s="3">
        <v>0</v>
      </c>
      <c r="P15" s="3">
        <f>N9*C15</f>
        <v>0</v>
      </c>
      <c r="Q15" s="40"/>
    </row>
    <row r="16" spans="1:17" x14ac:dyDescent="0.25">
      <c r="A16" t="s">
        <v>202</v>
      </c>
      <c r="C16" s="77"/>
      <c r="D16" s="84">
        <f>C16*-1</f>
        <v>0</v>
      </c>
      <c r="E16" s="3" t="e">
        <f>D16*$E$7</f>
        <v>#DIV/0!</v>
      </c>
      <c r="F16" s="3" t="e">
        <f t="shared" ref="F16:F29" si="0">SUM($E$9:$E$10)*D16</f>
        <v>#DIV/0!</v>
      </c>
      <c r="G16" s="40"/>
      <c r="H16" t="s">
        <v>174</v>
      </c>
      <c r="I16" s="84">
        <f>D16</f>
        <v>0</v>
      </c>
      <c r="J16" s="3" t="e">
        <f>I16*$K$8</f>
        <v>#DIV/0!</v>
      </c>
      <c r="K16" s="3" t="e">
        <f>SUM($J$9:$J$10)*I16</f>
        <v>#DIV/0!</v>
      </c>
      <c r="L16" s="40"/>
      <c r="M16" t="s">
        <v>174</v>
      </c>
      <c r="N16" s="84">
        <f>I16</f>
        <v>0</v>
      </c>
      <c r="O16" s="3" t="e">
        <f>N16*$E$7</f>
        <v>#DIV/0!</v>
      </c>
      <c r="P16" s="3" t="e">
        <f>SUM($E$9:$E$10)*N16</f>
        <v>#DIV/0!</v>
      </c>
      <c r="Q16" s="40"/>
    </row>
    <row r="17" spans="1:17" x14ac:dyDescent="0.25">
      <c r="A17" t="s">
        <v>201</v>
      </c>
      <c r="C17" s="77"/>
      <c r="D17" s="84">
        <f>C17*-1</f>
        <v>0</v>
      </c>
      <c r="E17" s="3" t="e">
        <f>D17*$E$7</f>
        <v>#DIV/0!</v>
      </c>
      <c r="F17" s="3" t="e">
        <f t="shared" ref="F17" si="1">SUM($E$9:$E$10)*D17</f>
        <v>#DIV/0!</v>
      </c>
      <c r="G17" s="40"/>
      <c r="H17" s="105"/>
      <c r="I17" s="113"/>
      <c r="J17" s="114"/>
      <c r="K17" s="114"/>
      <c r="L17" s="40"/>
      <c r="M17" s="105"/>
      <c r="N17" s="113"/>
      <c r="Q17" s="40"/>
    </row>
    <row r="18" spans="1:17" x14ac:dyDescent="0.25">
      <c r="A18" t="s">
        <v>165</v>
      </c>
      <c r="C18" s="77"/>
      <c r="D18" s="84">
        <f>C18*1</f>
        <v>0</v>
      </c>
      <c r="E18" s="3" t="e">
        <f t="shared" ref="E18:E29" si="2">D18*$E$7</f>
        <v>#DIV/0!</v>
      </c>
      <c r="F18" s="3" t="e">
        <f t="shared" si="0"/>
        <v>#DIV/0!</v>
      </c>
      <c r="G18" s="40"/>
      <c r="H18" t="s">
        <v>165</v>
      </c>
      <c r="I18" s="84">
        <f>D18</f>
        <v>0</v>
      </c>
      <c r="J18" s="3" t="e">
        <f>I18*$K$8</f>
        <v>#DIV/0!</v>
      </c>
      <c r="K18" s="3" t="e">
        <f>SUM($J$9:$J$10)*I18</f>
        <v>#DIV/0!</v>
      </c>
      <c r="L18" s="40"/>
      <c r="M18" s="105"/>
      <c r="N18" s="113">
        <f>I18*0</f>
        <v>0</v>
      </c>
      <c r="O18" s="3" t="e">
        <f>N18*$E$7</f>
        <v>#DIV/0!</v>
      </c>
      <c r="P18" s="3" t="e">
        <f>SUM($E$9:$E$10)*N18</f>
        <v>#DIV/0!</v>
      </c>
      <c r="Q18" s="40"/>
    </row>
    <row r="19" spans="1:17" x14ac:dyDescent="0.25">
      <c r="A19" t="s">
        <v>171</v>
      </c>
      <c r="C19" s="77"/>
      <c r="D19" s="84">
        <f>C19*-1</f>
        <v>0</v>
      </c>
      <c r="E19" s="3" t="e">
        <f t="shared" si="2"/>
        <v>#DIV/0!</v>
      </c>
      <c r="F19" s="3" t="e">
        <f t="shared" si="0"/>
        <v>#DIV/0!</v>
      </c>
      <c r="G19" s="40"/>
      <c r="H19" t="s">
        <v>171</v>
      </c>
      <c r="I19" s="84">
        <f>D19</f>
        <v>0</v>
      </c>
      <c r="J19" s="3" t="e">
        <f>I19*$K$8</f>
        <v>#DIV/0!</v>
      </c>
      <c r="K19" s="3" t="e">
        <f>SUM($J$9:$J$10)*I19</f>
        <v>#DIV/0!</v>
      </c>
      <c r="L19" s="40"/>
      <c r="M19" t="s">
        <v>171</v>
      </c>
      <c r="N19" s="88">
        <f t="shared" ref="N19:N29" si="3">I19</f>
        <v>0</v>
      </c>
      <c r="O19" s="3" t="e">
        <f>N19*$E$7</f>
        <v>#DIV/0!</v>
      </c>
      <c r="P19" s="3" t="e">
        <f>SUM($E$9:$E$10)*N19</f>
        <v>#DIV/0!</v>
      </c>
      <c r="Q19" s="40"/>
    </row>
    <row r="20" spans="1:17" x14ac:dyDescent="0.25">
      <c r="A20" t="s">
        <v>205</v>
      </c>
      <c r="C20" s="77"/>
      <c r="D20" s="84">
        <f>C20*-1</f>
        <v>0</v>
      </c>
      <c r="G20" s="40"/>
      <c r="H20" s="105"/>
      <c r="I20" s="113"/>
      <c r="J20" s="114"/>
      <c r="K20" s="114"/>
      <c r="L20" s="40"/>
      <c r="M20" s="105"/>
      <c r="N20" s="113"/>
      <c r="Q20" s="40"/>
    </row>
    <row r="21" spans="1:17" x14ac:dyDescent="0.25">
      <c r="A21" t="s">
        <v>182</v>
      </c>
      <c r="C21" s="77"/>
      <c r="D21" s="84">
        <f>C21*-1</f>
        <v>0</v>
      </c>
      <c r="E21" s="3" t="e">
        <f t="shared" si="2"/>
        <v>#DIV/0!</v>
      </c>
      <c r="F21" s="3" t="e">
        <f t="shared" si="0"/>
        <v>#DIV/0!</v>
      </c>
      <c r="G21" s="40"/>
      <c r="H21" t="s">
        <v>182</v>
      </c>
      <c r="I21" s="84">
        <f t="shared" ref="I21:I29" si="4">D21</f>
        <v>0</v>
      </c>
      <c r="J21" s="3" t="e">
        <f t="shared" ref="J21:J27" si="5">I21*$K$8</f>
        <v>#DIV/0!</v>
      </c>
      <c r="K21" s="3" t="e">
        <f t="shared" ref="K21:K27" si="6">SUM($J$9:$J$10)*I21</f>
        <v>#DIV/0!</v>
      </c>
      <c r="L21" s="40"/>
      <c r="M21" t="s">
        <v>182</v>
      </c>
      <c r="N21" s="84">
        <f t="shared" si="3"/>
        <v>0</v>
      </c>
      <c r="O21" s="3" t="e">
        <f>N21*$E$7</f>
        <v>#DIV/0!</v>
      </c>
      <c r="P21" s="3" t="e">
        <f>SUM($E$9:$E$10)*N21</f>
        <v>#DIV/0!</v>
      </c>
      <c r="Q21" s="40"/>
    </row>
    <row r="22" spans="1:17" x14ac:dyDescent="0.25">
      <c r="A22" t="s">
        <v>172</v>
      </c>
      <c r="C22" s="77"/>
      <c r="D22" s="84">
        <f t="shared" ref="D22:D29" si="7">C22*-1</f>
        <v>0</v>
      </c>
      <c r="E22" s="3" t="e">
        <f t="shared" si="2"/>
        <v>#DIV/0!</v>
      </c>
      <c r="F22" s="3" t="e">
        <f t="shared" si="0"/>
        <v>#DIV/0!</v>
      </c>
      <c r="G22" s="40"/>
      <c r="H22" t="s">
        <v>172</v>
      </c>
      <c r="I22" s="84">
        <f>D22</f>
        <v>0</v>
      </c>
      <c r="J22" s="3" t="e">
        <f t="shared" si="5"/>
        <v>#DIV/0!</v>
      </c>
      <c r="K22" s="3" t="e">
        <f t="shared" si="6"/>
        <v>#DIV/0!</v>
      </c>
      <c r="L22" s="40"/>
      <c r="M22" t="s">
        <v>172</v>
      </c>
      <c r="N22" s="84">
        <f t="shared" si="3"/>
        <v>0</v>
      </c>
      <c r="O22" s="3" t="e">
        <f>N22*$E$7</f>
        <v>#DIV/0!</v>
      </c>
      <c r="P22" s="3" t="e">
        <f>SUM($E$9:$E$10)*N22</f>
        <v>#DIV/0!</v>
      </c>
      <c r="Q22" s="40"/>
    </row>
    <row r="23" spans="1:17" x14ac:dyDescent="0.25">
      <c r="A23" t="s">
        <v>173</v>
      </c>
      <c r="C23" s="77"/>
      <c r="D23" s="84">
        <f t="shared" si="7"/>
        <v>0</v>
      </c>
      <c r="E23" s="3" t="e">
        <f t="shared" si="2"/>
        <v>#DIV/0!</v>
      </c>
      <c r="F23" s="3" t="e">
        <f t="shared" si="0"/>
        <v>#DIV/0!</v>
      </c>
      <c r="G23" s="40"/>
      <c r="H23" t="s">
        <v>173</v>
      </c>
      <c r="I23" s="84">
        <f t="shared" si="4"/>
        <v>0</v>
      </c>
      <c r="J23" s="3" t="e">
        <f t="shared" si="5"/>
        <v>#DIV/0!</v>
      </c>
      <c r="K23" s="3" t="e">
        <f t="shared" si="6"/>
        <v>#DIV/0!</v>
      </c>
      <c r="L23" s="40"/>
      <c r="M23" t="s">
        <v>173</v>
      </c>
      <c r="N23" s="84">
        <f t="shared" si="3"/>
        <v>0</v>
      </c>
      <c r="Q23" s="40"/>
    </row>
    <row r="24" spans="1:17" x14ac:dyDescent="0.25">
      <c r="A24" t="s">
        <v>178</v>
      </c>
      <c r="C24" s="77"/>
      <c r="D24" s="84">
        <f t="shared" si="7"/>
        <v>0</v>
      </c>
      <c r="E24" s="3" t="e">
        <f t="shared" si="2"/>
        <v>#DIV/0!</v>
      </c>
      <c r="F24" s="3" t="e">
        <f t="shared" si="0"/>
        <v>#DIV/0!</v>
      </c>
      <c r="G24" s="40"/>
      <c r="H24" t="s">
        <v>178</v>
      </c>
      <c r="I24" s="84">
        <f t="shared" si="4"/>
        <v>0</v>
      </c>
      <c r="J24" s="3" t="e">
        <f t="shared" si="5"/>
        <v>#DIV/0!</v>
      </c>
      <c r="K24" s="3" t="e">
        <f t="shared" si="6"/>
        <v>#DIV/0!</v>
      </c>
      <c r="L24" s="40"/>
      <c r="M24" t="s">
        <v>178</v>
      </c>
      <c r="N24" s="84">
        <f t="shared" si="3"/>
        <v>0</v>
      </c>
      <c r="O24" s="3" t="e">
        <f>N24*$E$7</f>
        <v>#DIV/0!</v>
      </c>
      <c r="P24" s="3" t="e">
        <f>SUM($E$9:$E$10)*N24</f>
        <v>#DIV/0!</v>
      </c>
      <c r="Q24" s="40"/>
    </row>
    <row r="25" spans="1:17" x14ac:dyDescent="0.25">
      <c r="A25" t="s">
        <v>176</v>
      </c>
      <c r="C25" s="77"/>
      <c r="D25" s="88">
        <f>C25*-1</f>
        <v>0</v>
      </c>
      <c r="E25" s="3" t="e">
        <f t="shared" si="2"/>
        <v>#DIV/0!</v>
      </c>
      <c r="F25" s="3" t="e">
        <f t="shared" si="0"/>
        <v>#DIV/0!</v>
      </c>
      <c r="G25" s="40"/>
      <c r="H25" t="s">
        <v>123</v>
      </c>
      <c r="I25" s="84">
        <f>D25</f>
        <v>0</v>
      </c>
      <c r="J25" s="3" t="e">
        <f t="shared" si="5"/>
        <v>#DIV/0!</v>
      </c>
      <c r="K25" s="3" t="e">
        <f t="shared" si="6"/>
        <v>#DIV/0!</v>
      </c>
      <c r="L25" s="40"/>
      <c r="M25" t="s">
        <v>123</v>
      </c>
      <c r="N25" s="84">
        <f>I25</f>
        <v>0</v>
      </c>
      <c r="O25" s="3" t="e">
        <f>N25*$E$7</f>
        <v>#DIV/0!</v>
      </c>
      <c r="P25" s="3" t="e">
        <f>SUM($E$9:$E$10)*N25</f>
        <v>#DIV/0!</v>
      </c>
      <c r="Q25" s="40"/>
    </row>
    <row r="26" spans="1:17" x14ac:dyDescent="0.25">
      <c r="A26" s="49" t="s">
        <v>177</v>
      </c>
      <c r="C26" s="77"/>
      <c r="D26" s="88">
        <f>C26*-1</f>
        <v>0</v>
      </c>
      <c r="E26" s="3" t="e">
        <f t="shared" si="2"/>
        <v>#DIV/0!</v>
      </c>
      <c r="F26" s="3" t="e">
        <f t="shared" si="0"/>
        <v>#DIV/0!</v>
      </c>
      <c r="G26" s="40"/>
      <c r="H26" s="49" t="s">
        <v>124</v>
      </c>
      <c r="I26" s="84">
        <f t="shared" si="4"/>
        <v>0</v>
      </c>
      <c r="J26" s="3" t="e">
        <f t="shared" si="5"/>
        <v>#DIV/0!</v>
      </c>
      <c r="K26" s="3" t="e">
        <f t="shared" si="6"/>
        <v>#DIV/0!</v>
      </c>
      <c r="L26" s="40"/>
      <c r="M26" s="49" t="s">
        <v>124</v>
      </c>
      <c r="N26" s="84">
        <f t="shared" si="3"/>
        <v>0</v>
      </c>
      <c r="O26" s="3" t="e">
        <f>N26*$E$7</f>
        <v>#DIV/0!</v>
      </c>
      <c r="P26" s="3" t="e">
        <f>SUM($E$9:$E$10)*N26</f>
        <v>#DIV/0!</v>
      </c>
      <c r="Q26" s="40"/>
    </row>
    <row r="27" spans="1:17" x14ac:dyDescent="0.25">
      <c r="A27" t="s">
        <v>204</v>
      </c>
      <c r="C27" s="77"/>
      <c r="D27" s="84">
        <f>C27*-1</f>
        <v>0</v>
      </c>
      <c r="E27" s="3" t="e">
        <f t="shared" si="2"/>
        <v>#DIV/0!</v>
      </c>
      <c r="F27" s="3" t="e">
        <f t="shared" si="0"/>
        <v>#DIV/0!</v>
      </c>
      <c r="G27" s="40"/>
      <c r="H27" t="s">
        <v>204</v>
      </c>
      <c r="I27" s="84">
        <f>D27</f>
        <v>0</v>
      </c>
      <c r="J27" s="3" t="e">
        <f t="shared" si="5"/>
        <v>#DIV/0!</v>
      </c>
      <c r="K27" s="3" t="e">
        <f t="shared" si="6"/>
        <v>#DIV/0!</v>
      </c>
      <c r="L27" s="40"/>
      <c r="M27" t="s">
        <v>204</v>
      </c>
      <c r="N27" s="84">
        <f>I27</f>
        <v>0</v>
      </c>
      <c r="O27" s="3" t="e">
        <f>N27*$E$7</f>
        <v>#DIV/0!</v>
      </c>
      <c r="P27" s="3" t="e">
        <f>SUM($E$9:$E$10)*N27</f>
        <v>#DIV/0!</v>
      </c>
      <c r="Q27" s="40"/>
    </row>
    <row r="28" spans="1:17" x14ac:dyDescent="0.25">
      <c r="A28" t="s">
        <v>203</v>
      </c>
      <c r="C28" s="77"/>
      <c r="D28" s="84">
        <f>C28*-1</f>
        <v>0</v>
      </c>
      <c r="E28" s="3" t="e">
        <f t="shared" ref="E28" si="8">D28*$E$7</f>
        <v>#DIV/0!</v>
      </c>
      <c r="F28" s="3" t="e">
        <f t="shared" ref="F28" si="9">SUM($E$9:$E$10)*D28</f>
        <v>#DIV/0!</v>
      </c>
      <c r="G28" s="40"/>
      <c r="H28" s="105"/>
      <c r="I28" s="113"/>
      <c r="J28" s="114"/>
      <c r="K28" s="114"/>
      <c r="L28" s="40"/>
      <c r="M28" s="105"/>
      <c r="N28" s="113"/>
      <c r="Q28" s="40"/>
    </row>
    <row r="29" spans="1:17" ht="15.75" thickBot="1" x14ac:dyDescent="0.3">
      <c r="A29" t="s">
        <v>5</v>
      </c>
      <c r="C29" s="77"/>
      <c r="D29" s="89">
        <f t="shared" si="7"/>
        <v>0</v>
      </c>
      <c r="E29" s="56" t="e">
        <f t="shared" si="2"/>
        <v>#DIV/0!</v>
      </c>
      <c r="F29" s="10" t="e">
        <f t="shared" si="0"/>
        <v>#DIV/0!</v>
      </c>
      <c r="G29" s="40"/>
      <c r="H29" s="74" t="s">
        <v>5</v>
      </c>
      <c r="I29" s="86">
        <f t="shared" si="4"/>
        <v>0</v>
      </c>
      <c r="J29" s="56" t="e">
        <f>I29*$K$8</f>
        <v>#DIV/0!</v>
      </c>
      <c r="K29" s="10" t="e">
        <f>SUM($J$9:$J$10)*I29</f>
        <v>#DIV/0!</v>
      </c>
      <c r="L29" s="40"/>
      <c r="M29" s="74" t="s">
        <v>5</v>
      </c>
      <c r="N29" s="86">
        <f t="shared" si="3"/>
        <v>0</v>
      </c>
      <c r="O29" s="56" t="e">
        <f>N29*$E$7</f>
        <v>#DIV/0!</v>
      </c>
      <c r="P29" s="10" t="e">
        <f>SUM($E$9:$E$10)*N29</f>
        <v>#DIV/0!</v>
      </c>
      <c r="Q29" s="66"/>
    </row>
    <row r="30" spans="1:17" ht="15.75" thickTop="1" x14ac:dyDescent="0.25">
      <c r="A30" s="1" t="s">
        <v>6</v>
      </c>
      <c r="D30" s="87">
        <f>SUM(D15:D29)</f>
        <v>0</v>
      </c>
      <c r="E30" s="3" t="e">
        <f>SUM(E16:E29)</f>
        <v>#DIV/0!</v>
      </c>
      <c r="F30" s="3" t="e">
        <f>SUM(F16:F29)</f>
        <v>#DIV/0!</v>
      </c>
      <c r="G30" s="55"/>
      <c r="H30" s="1" t="s">
        <v>6</v>
      </c>
      <c r="I30" s="87">
        <f>SUM(I15:I29)</f>
        <v>0</v>
      </c>
      <c r="J30" s="3" t="e">
        <f>SUM(J16:J29)</f>
        <v>#DIV/0!</v>
      </c>
      <c r="K30" s="3" t="e">
        <f>SUM(K16:K29)</f>
        <v>#DIV/0!</v>
      </c>
      <c r="L30" s="40"/>
      <c r="M30" s="1" t="s">
        <v>6</v>
      </c>
      <c r="N30" s="87">
        <f>SUM(N15:N29)</f>
        <v>0</v>
      </c>
      <c r="O30" s="3" t="e">
        <f>SUM(O16:O29)</f>
        <v>#DIV/0!</v>
      </c>
      <c r="P30" s="3" t="e">
        <f>SUM(P16:P29)</f>
        <v>#DIV/0!</v>
      </c>
      <c r="Q30" s="55"/>
    </row>
    <row r="31" spans="1:17" x14ac:dyDescent="0.25">
      <c r="D31" s="84"/>
      <c r="G31" s="40"/>
      <c r="I31" s="84"/>
      <c r="L31" s="40"/>
      <c r="M31" s="3"/>
      <c r="N31" s="84"/>
      <c r="Q31" s="40"/>
    </row>
    <row r="32" spans="1:17" x14ac:dyDescent="0.25">
      <c r="D32" s="84"/>
      <c r="G32" s="40"/>
      <c r="I32" s="84"/>
      <c r="L32" s="40"/>
      <c r="N32" s="84"/>
      <c r="Q32" s="40"/>
    </row>
    <row r="33" spans="1:17" x14ac:dyDescent="0.25">
      <c r="A33" s="2" t="s">
        <v>21</v>
      </c>
      <c r="D33" s="84"/>
      <c r="G33" s="40"/>
      <c r="H33" s="2" t="s">
        <v>21</v>
      </c>
      <c r="I33" s="84"/>
      <c r="L33" s="40"/>
      <c r="M33" s="2" t="s">
        <v>21</v>
      </c>
      <c r="N33" s="84"/>
      <c r="Q33" s="40"/>
    </row>
    <row r="34" spans="1:17" x14ac:dyDescent="0.25">
      <c r="A34" t="s">
        <v>183</v>
      </c>
      <c r="C34" s="77"/>
      <c r="D34" s="84">
        <f>$C$34*-1</f>
        <v>0</v>
      </c>
      <c r="G34" s="40"/>
      <c r="H34" t="s">
        <v>183</v>
      </c>
      <c r="I34" s="84">
        <f>(D34*10)/12</f>
        <v>0</v>
      </c>
      <c r="L34" s="40"/>
      <c r="M34" t="s">
        <v>183</v>
      </c>
      <c r="N34" s="84">
        <f>(I34*10)/12</f>
        <v>0</v>
      </c>
      <c r="Q34" s="40"/>
    </row>
    <row r="35" spans="1:17" x14ac:dyDescent="0.25">
      <c r="A35" t="s">
        <v>175</v>
      </c>
      <c r="C35" s="77"/>
      <c r="D35" s="84">
        <f>$C$35*-1</f>
        <v>0</v>
      </c>
      <c r="G35" s="40"/>
      <c r="H35" t="s">
        <v>175</v>
      </c>
      <c r="I35" s="84">
        <f>(D35*10)/12</f>
        <v>0</v>
      </c>
      <c r="L35" s="40"/>
      <c r="M35" t="s">
        <v>175</v>
      </c>
      <c r="N35" s="84">
        <f>I35</f>
        <v>0</v>
      </c>
      <c r="Q35" s="40"/>
    </row>
    <row r="36" spans="1:17" x14ac:dyDescent="0.25">
      <c r="A36" t="s">
        <v>163</v>
      </c>
      <c r="C36" s="77"/>
      <c r="D36" s="84">
        <f>$C$36*-1</f>
        <v>0</v>
      </c>
      <c r="G36" s="40"/>
      <c r="H36" t="s">
        <v>163</v>
      </c>
      <c r="I36" s="84">
        <f>$C$36*-1</f>
        <v>0</v>
      </c>
      <c r="L36" s="40"/>
      <c r="M36" t="s">
        <v>163</v>
      </c>
      <c r="N36" s="84">
        <f>$C$36*-1</f>
        <v>0</v>
      </c>
      <c r="Q36" s="40"/>
    </row>
    <row r="37" spans="1:17" x14ac:dyDescent="0.25">
      <c r="A37" s="49" t="s">
        <v>164</v>
      </c>
      <c r="C37" s="77"/>
      <c r="D37" s="84">
        <f>$C$37*-1</f>
        <v>0</v>
      </c>
      <c r="G37" s="40"/>
      <c r="H37" s="49" t="s">
        <v>164</v>
      </c>
      <c r="I37" s="84">
        <f>$C$37*-1</f>
        <v>0</v>
      </c>
      <c r="L37" s="40"/>
      <c r="M37" s="49" t="s">
        <v>164</v>
      </c>
      <c r="N37" s="84">
        <f>$C$37*-1</f>
        <v>0</v>
      </c>
      <c r="Q37" s="40"/>
    </row>
    <row r="38" spans="1:17" x14ac:dyDescent="0.25">
      <c r="A38" s="49" t="s">
        <v>184</v>
      </c>
      <c r="C38" s="77"/>
      <c r="D38" s="84">
        <f>$C$38*-1</f>
        <v>0</v>
      </c>
      <c r="G38" s="40"/>
      <c r="H38" s="49" t="s">
        <v>184</v>
      </c>
      <c r="I38" s="84">
        <f>$C$38*-1</f>
        <v>0</v>
      </c>
      <c r="L38" s="40"/>
      <c r="M38" s="49" t="s">
        <v>184</v>
      </c>
      <c r="N38" s="84">
        <f>$C$38*0</f>
        <v>0</v>
      </c>
      <c r="Q38" s="40"/>
    </row>
    <row r="39" spans="1:17" ht="15.75" thickBot="1" x14ac:dyDescent="0.3">
      <c r="A39" t="s">
        <v>22</v>
      </c>
      <c r="C39" s="77"/>
      <c r="D39" s="86">
        <f>$C$39*-1</f>
        <v>0</v>
      </c>
      <c r="G39" s="40"/>
      <c r="H39" t="s">
        <v>22</v>
      </c>
      <c r="I39" s="86">
        <f>$C$39*-1</f>
        <v>0</v>
      </c>
      <c r="L39" s="40"/>
      <c r="M39" t="s">
        <v>22</v>
      </c>
      <c r="N39" s="86">
        <f>$C$39*-1</f>
        <v>0</v>
      </c>
      <c r="Q39" s="40"/>
    </row>
    <row r="40" spans="1:17" ht="15.75" thickTop="1" x14ac:dyDescent="0.25">
      <c r="A40" s="1" t="s">
        <v>23</v>
      </c>
      <c r="D40" s="87">
        <f>SUM(D34:D39)</f>
        <v>0</v>
      </c>
      <c r="E40" s="52"/>
      <c r="F40" s="52"/>
      <c r="G40" s="55"/>
      <c r="H40" s="1" t="s">
        <v>23</v>
      </c>
      <c r="I40" s="87">
        <f>SUM(I34:I39)</f>
        <v>0</v>
      </c>
      <c r="J40" s="52"/>
      <c r="K40" s="52"/>
      <c r="L40" s="55"/>
      <c r="M40" s="1" t="s">
        <v>23</v>
      </c>
      <c r="N40" s="87">
        <f>SUM(N34:N39)</f>
        <v>0</v>
      </c>
      <c r="O40" s="52"/>
      <c r="P40" s="52"/>
      <c r="Q40" s="55"/>
    </row>
    <row r="41" spans="1:17" x14ac:dyDescent="0.25">
      <c r="D41" s="84"/>
      <c r="E41" t="s">
        <v>131</v>
      </c>
      <c r="F41" t="s">
        <v>134</v>
      </c>
      <c r="G41" s="40"/>
      <c r="I41" s="84"/>
      <c r="J41" t="s">
        <v>131</v>
      </c>
      <c r="K41" t="s">
        <v>134</v>
      </c>
      <c r="L41" s="39"/>
      <c r="N41" s="84"/>
      <c r="O41" t="s">
        <v>131</v>
      </c>
      <c r="P41" t="s">
        <v>134</v>
      </c>
      <c r="Q41" s="40"/>
    </row>
    <row r="42" spans="1:17" x14ac:dyDescent="0.25">
      <c r="A42" s="81" t="s">
        <v>179</v>
      </c>
      <c r="D42" s="84"/>
      <c r="G42" s="40"/>
      <c r="I42" s="84"/>
      <c r="L42" s="40"/>
      <c r="N42" s="84"/>
      <c r="Q42" s="40"/>
    </row>
    <row r="43" spans="1:17" ht="15.75" thickBot="1" x14ac:dyDescent="0.3">
      <c r="A43" s="2" t="s">
        <v>0</v>
      </c>
      <c r="D43" s="89"/>
      <c r="E43" s="3" t="e">
        <f>$D$7+$E$15+$E$30</f>
        <v>#DIV/0!</v>
      </c>
      <c r="F43" s="3" t="e">
        <f>(D9+D10)+F15+F30</f>
        <v>#DIV/0!</v>
      </c>
      <c r="G43" s="40"/>
      <c r="H43" s="2" t="s">
        <v>0</v>
      </c>
      <c r="I43" s="89"/>
      <c r="J43" s="3" t="e">
        <f>I7+I8+J15+J30</f>
        <v>#DIV/0!</v>
      </c>
      <c r="K43" s="3" t="e">
        <f>(I9+I10)+K15+K30</f>
        <v>#DIV/0!</v>
      </c>
      <c r="L43" s="40"/>
      <c r="M43" s="2" t="s">
        <v>0</v>
      </c>
      <c r="N43" s="89"/>
      <c r="O43" s="3" t="e">
        <f>N7+O30</f>
        <v>#DIV/0!</v>
      </c>
      <c r="P43" s="3">
        <f>SUM(N9:N10)-P15</f>
        <v>0</v>
      </c>
      <c r="Q43" s="40"/>
    </row>
    <row r="44" spans="1:17" ht="15.75" thickTop="1" x14ac:dyDescent="0.25">
      <c r="A44" t="s">
        <v>7</v>
      </c>
      <c r="C44" s="78" t="s">
        <v>131</v>
      </c>
      <c r="D44" s="88" t="e">
        <f>E43</f>
        <v>#DIV/0!</v>
      </c>
      <c r="F44" s="3" t="e">
        <f>D44-E44</f>
        <v>#DIV/0!</v>
      </c>
      <c r="G44" s="40"/>
      <c r="H44" t="s">
        <v>7</v>
      </c>
      <c r="I44" s="88" t="e">
        <f>J43</f>
        <v>#DIV/0!</v>
      </c>
      <c r="L44" s="40"/>
      <c r="M44" t="s">
        <v>7</v>
      </c>
      <c r="N44" s="88" t="e">
        <f>O43</f>
        <v>#DIV/0!</v>
      </c>
      <c r="Q44" s="40"/>
    </row>
    <row r="45" spans="1:17" x14ac:dyDescent="0.25">
      <c r="C45" s="78" t="s">
        <v>132</v>
      </c>
      <c r="D45" s="88" t="e">
        <f>F43</f>
        <v>#DIV/0!</v>
      </c>
      <c r="G45" s="40"/>
      <c r="I45" s="88" t="e">
        <f>K43</f>
        <v>#DIV/0!</v>
      </c>
      <c r="L45" s="40"/>
      <c r="N45" s="88">
        <f>P43</f>
        <v>0</v>
      </c>
      <c r="Q45" s="40"/>
    </row>
    <row r="46" spans="1:17" x14ac:dyDescent="0.25">
      <c r="A46" t="s">
        <v>12</v>
      </c>
      <c r="C46" s="77"/>
      <c r="D46" s="88"/>
      <c r="G46" s="40"/>
      <c r="I46" s="88"/>
      <c r="L46" s="40"/>
      <c r="N46" s="88"/>
      <c r="Q46" s="40"/>
    </row>
    <row r="47" spans="1:17" x14ac:dyDescent="0.25">
      <c r="A47" s="37" t="s">
        <v>39</v>
      </c>
      <c r="C47" s="77"/>
      <c r="D47" s="88"/>
      <c r="G47" s="40"/>
      <c r="H47" s="37"/>
      <c r="I47" s="88"/>
      <c r="L47" s="40"/>
      <c r="M47" s="37"/>
      <c r="N47" s="88"/>
      <c r="Q47" s="40"/>
    </row>
    <row r="48" spans="1:17" ht="24.75" customHeight="1" x14ac:dyDescent="0.25">
      <c r="A48" s="37" t="str">
        <f>IF($C$47='Filing Status'!$E$2,"Box Step 2 of 2020 W-4 or Later"," ")</f>
        <v xml:space="preserve"> </v>
      </c>
      <c r="C48" s="77"/>
      <c r="D48" s="88"/>
      <c r="G48" s="40"/>
      <c r="H48" s="37" t="str">
        <f>IF($C$47='Filing Status'!$E$2,"Box Step 2 of 2020 W-4 or Later"," ")</f>
        <v xml:space="preserve"> </v>
      </c>
      <c r="I48" s="88"/>
      <c r="L48" s="40"/>
      <c r="M48" s="37" t="str">
        <f>IF($C$47='Filing Status'!$E$2,"Box Step 2 of 2020 W-4 or Later"," ")</f>
        <v xml:space="preserve"> </v>
      </c>
      <c r="N48" s="88"/>
      <c r="Q48" s="40"/>
    </row>
    <row r="49" spans="1:17" ht="33.75" customHeight="1" x14ac:dyDescent="0.25">
      <c r="A49" s="38" t="s">
        <v>162</v>
      </c>
      <c r="C49" s="77">
        <v>0</v>
      </c>
      <c r="D49" s="88"/>
      <c r="G49" s="40"/>
      <c r="H49" s="38"/>
      <c r="I49" s="88"/>
      <c r="L49" s="40"/>
      <c r="M49" s="38"/>
      <c r="N49" s="88"/>
      <c r="Q49" s="40"/>
    </row>
    <row r="50" spans="1:17" x14ac:dyDescent="0.25">
      <c r="A50" s="37" t="str">
        <f>IF($C$47='Filing Status'!$E$3,"Prior to 2020 W-4 -enter number of allowances", " ")</f>
        <v xml:space="preserve"> </v>
      </c>
      <c r="C50" s="77">
        <v>0</v>
      </c>
      <c r="D50" s="88"/>
      <c r="G50" s="40"/>
      <c r="H50" s="37"/>
      <c r="I50" s="88"/>
      <c r="L50" s="40"/>
      <c r="M50" s="37"/>
      <c r="N50" s="88"/>
      <c r="Q50" s="40"/>
    </row>
    <row r="51" spans="1:17" x14ac:dyDescent="0.25">
      <c r="A51" t="str">
        <f>IF($C$47='Filing Status'!$E$2,"2020 W-4 or later line 4(a) Other Income"," ")</f>
        <v xml:space="preserve"> </v>
      </c>
      <c r="C51" s="77">
        <v>0</v>
      </c>
      <c r="D51" s="88"/>
      <c r="G51" s="40"/>
      <c r="H51" t="str">
        <f>IF($C$47='Filing Status'!$E$2,"2020 W-4 or later line 4(a) Other Income"," ")</f>
        <v xml:space="preserve"> </v>
      </c>
      <c r="I51" s="88"/>
      <c r="L51" s="40"/>
      <c r="M51" t="str">
        <f>IF($C$47='Filing Status'!$E$2,"2020 W-4 or later line 4(a) Other Income"," ")</f>
        <v xml:space="preserve"> </v>
      </c>
      <c r="N51" s="88"/>
      <c r="Q51" s="40"/>
    </row>
    <row r="52" spans="1:17" x14ac:dyDescent="0.25">
      <c r="A52" t="str">
        <f>IF($C$47='Filing Status'!$E$2,"2020 W-4 or later 4(b) Deductions"," ")</f>
        <v xml:space="preserve"> </v>
      </c>
      <c r="C52" s="77">
        <v>0</v>
      </c>
      <c r="D52" s="88"/>
      <c r="G52" s="40"/>
      <c r="H52" t="str">
        <f>IF($C$47='Filing Status'!$E$2,"2020 W-4 or later 4(b) Deductions"," ")</f>
        <v xml:space="preserve"> </v>
      </c>
      <c r="I52" s="88"/>
      <c r="L52" s="40"/>
      <c r="M52" t="str">
        <f>IF($C$47='Filing Status'!$E$2,"2020 W-4 or later 4(b) Deductions"," ")</f>
        <v xml:space="preserve"> </v>
      </c>
      <c r="N52" s="88"/>
      <c r="Q52" s="40"/>
    </row>
    <row r="53" spans="1:17" ht="15.75" thickBot="1" x14ac:dyDescent="0.3">
      <c r="A53" t="str">
        <f>IF($C$47='Filing Status'!$E$2,"2020 W-4 or later Step 3 on Form"," ")</f>
        <v xml:space="preserve"> </v>
      </c>
      <c r="C53" s="80"/>
      <c r="D53" s="89"/>
      <c r="G53" s="40"/>
      <c r="H53" t="str">
        <f>IF($C$47='Filing Status'!$E$2,"2020 W-4 or later Step 3 on Form"," ")</f>
        <v xml:space="preserve"> </v>
      </c>
      <c r="I53" s="89"/>
      <c r="L53" s="40"/>
      <c r="M53" t="str">
        <f>IF($C$47='Filing Status'!$E$2,"2020 W-4 or later Step 3 on Form"," ")</f>
        <v xml:space="preserve"> </v>
      </c>
      <c r="N53" s="89"/>
      <c r="Q53" s="40"/>
    </row>
    <row r="54" spans="1:17" ht="15.75" thickTop="1" x14ac:dyDescent="0.25">
      <c r="A54" t="s">
        <v>168</v>
      </c>
      <c r="C54" s="77"/>
      <c r="D54" s="88" t="e">
        <f>D45*22%</f>
        <v>#DIV/0!</v>
      </c>
      <c r="G54" s="40"/>
      <c r="H54" t="s">
        <v>168</v>
      </c>
      <c r="I54" s="88" t="e">
        <f>I45*22%</f>
        <v>#DIV/0!</v>
      </c>
      <c r="L54" s="40"/>
      <c r="M54" t="s">
        <v>168</v>
      </c>
      <c r="N54" s="88">
        <f>N45*22%</f>
        <v>0</v>
      </c>
      <c r="Q54" s="40"/>
    </row>
    <row r="55" spans="1:17" x14ac:dyDescent="0.25">
      <c r="A55" t="s">
        <v>130</v>
      </c>
      <c r="C55" s="77"/>
      <c r="D55" s="88">
        <f>'Federal Withholding  Hidden '!D44</f>
        <v>0</v>
      </c>
      <c r="G55" s="40"/>
      <c r="H55" t="s">
        <v>130</v>
      </c>
      <c r="I55" s="88">
        <f>'Federal Withholding  Hidden '!E44</f>
        <v>0</v>
      </c>
      <c r="L55" s="40"/>
      <c r="M55" t="s">
        <v>130</v>
      </c>
      <c r="N55" s="88">
        <f>'Federal Withholding  Hidden '!F44</f>
        <v>0</v>
      </c>
      <c r="Q55" s="40"/>
    </row>
    <row r="56" spans="1:17" x14ac:dyDescent="0.25">
      <c r="A56" s="1" t="s">
        <v>8</v>
      </c>
      <c r="C56" s="78"/>
      <c r="D56" s="90" t="e">
        <f>SUM(D54:D55)</f>
        <v>#DIV/0!</v>
      </c>
      <c r="E56" s="52"/>
      <c r="F56" s="52"/>
      <c r="G56" s="55"/>
      <c r="H56" s="1" t="s">
        <v>8</v>
      </c>
      <c r="I56" s="90" t="e">
        <f>SUM(I54:I55)</f>
        <v>#DIV/0!</v>
      </c>
      <c r="J56" s="52"/>
      <c r="K56" s="52"/>
      <c r="L56" s="55"/>
      <c r="M56" s="1" t="s">
        <v>8</v>
      </c>
      <c r="N56" s="90">
        <f>SUM(N54:N55)</f>
        <v>0</v>
      </c>
      <c r="O56" s="52"/>
      <c r="P56" s="52"/>
      <c r="Q56" s="55"/>
    </row>
    <row r="57" spans="1:17" x14ac:dyDescent="0.25">
      <c r="D57" s="84"/>
      <c r="G57" s="40"/>
      <c r="I57" s="84"/>
      <c r="L57" s="40"/>
      <c r="N57" s="84"/>
      <c r="Q57" s="40"/>
    </row>
    <row r="58" spans="1:17" x14ac:dyDescent="0.25">
      <c r="D58" s="84"/>
      <c r="G58" s="40"/>
      <c r="I58" s="84"/>
      <c r="L58" s="40"/>
      <c r="N58" s="84"/>
      <c r="Q58" s="40"/>
    </row>
    <row r="59" spans="1:17" x14ac:dyDescent="0.25">
      <c r="A59" s="2" t="s">
        <v>10</v>
      </c>
      <c r="D59" s="84"/>
      <c r="G59" s="40"/>
      <c r="H59" s="2" t="s">
        <v>10</v>
      </c>
      <c r="I59" s="84"/>
      <c r="L59" s="40"/>
      <c r="M59" s="2" t="s">
        <v>10</v>
      </c>
      <c r="N59" s="84"/>
      <c r="Q59" s="40"/>
    </row>
    <row r="60" spans="1:17" x14ac:dyDescent="0.25">
      <c r="A60" t="s">
        <v>11</v>
      </c>
      <c r="C60" s="77"/>
      <c r="D60" s="84"/>
      <c r="G60" s="40"/>
      <c r="I60" s="84"/>
      <c r="L60" s="40"/>
      <c r="N60" s="84"/>
      <c r="Q60" s="40"/>
    </row>
    <row r="61" spans="1:17" x14ac:dyDescent="0.25">
      <c r="A61" t="s">
        <v>13</v>
      </c>
      <c r="C61" s="79"/>
      <c r="D61" s="84"/>
      <c r="G61" s="40"/>
      <c r="I61" s="84"/>
      <c r="L61" s="40"/>
      <c r="N61" s="84"/>
      <c r="Q61" s="40"/>
    </row>
    <row r="62" spans="1:17" hidden="1" x14ac:dyDescent="0.25">
      <c r="A62" t="s">
        <v>152</v>
      </c>
      <c r="C62" s="79">
        <v>0</v>
      </c>
      <c r="D62" s="84"/>
      <c r="G62" s="40"/>
      <c r="I62" s="84"/>
      <c r="L62" s="40"/>
      <c r="N62" s="84"/>
      <c r="Q62" s="40"/>
    </row>
    <row r="63" spans="1:17" x14ac:dyDescent="0.25">
      <c r="A63" t="s">
        <v>125</v>
      </c>
      <c r="C63" s="77"/>
      <c r="D63" s="84"/>
      <c r="G63" s="40"/>
      <c r="I63" s="84"/>
      <c r="L63" s="40"/>
      <c r="N63" s="84"/>
      <c r="Q63" s="40"/>
    </row>
    <row r="64" spans="1:17" ht="15.75" thickBot="1" x14ac:dyDescent="0.3">
      <c r="A64" t="s">
        <v>145</v>
      </c>
      <c r="D64" s="89" t="e">
        <f>SUM(D44:D45)</f>
        <v>#DIV/0!</v>
      </c>
      <c r="G64" s="40"/>
      <c r="H64" t="s">
        <v>145</v>
      </c>
      <c r="I64" s="89" t="e">
        <f>SUM(I44:I45)</f>
        <v>#DIV/0!</v>
      </c>
      <c r="L64" s="40"/>
      <c r="M64" t="s">
        <v>145</v>
      </c>
      <c r="N64" s="89" t="e">
        <f>SUM(N44:N45)</f>
        <v>#DIV/0!</v>
      </c>
      <c r="Q64" s="40"/>
    </row>
    <row r="65" spans="1:17" ht="15.75" thickTop="1" x14ac:dyDescent="0.25">
      <c r="A65" s="1" t="s">
        <v>14</v>
      </c>
      <c r="D65" s="90" t="e">
        <f>'State Withholding Hidden'!C11</f>
        <v>#DIV/0!</v>
      </c>
      <c r="E65" s="52"/>
      <c r="F65" s="52"/>
      <c r="G65" s="55"/>
      <c r="H65" s="1" t="s">
        <v>14</v>
      </c>
      <c r="I65" s="90" t="e">
        <f>'State Withholding Hidden'!D11</f>
        <v>#DIV/0!</v>
      </c>
      <c r="J65" s="52"/>
      <c r="K65" s="52"/>
      <c r="L65" s="55"/>
      <c r="M65" s="1" t="s">
        <v>14</v>
      </c>
      <c r="N65" s="90" t="e">
        <f>'State Withholding Hidden'!E11</f>
        <v>#DIV/0!</v>
      </c>
      <c r="O65" s="52"/>
      <c r="P65" s="52"/>
      <c r="Q65" s="55"/>
    </row>
    <row r="66" spans="1:17" x14ac:dyDescent="0.25">
      <c r="D66" s="84"/>
      <c r="G66" s="40"/>
      <c r="I66" s="84"/>
      <c r="L66" s="40"/>
      <c r="N66" s="84"/>
      <c r="Q66" s="40"/>
    </row>
    <row r="67" spans="1:17" x14ac:dyDescent="0.25">
      <c r="D67" s="84"/>
      <c r="G67" s="40"/>
      <c r="I67" s="84"/>
      <c r="L67" s="40"/>
      <c r="N67" s="84"/>
      <c r="Q67" s="40"/>
    </row>
    <row r="68" spans="1:17" x14ac:dyDescent="0.25">
      <c r="A68" s="2" t="s">
        <v>20</v>
      </c>
      <c r="D68" s="84"/>
      <c r="G68" s="40"/>
      <c r="H68" s="2" t="s">
        <v>20</v>
      </c>
      <c r="I68" s="84"/>
      <c r="L68" s="40"/>
      <c r="M68" s="2" t="s">
        <v>20</v>
      </c>
      <c r="N68" s="84"/>
      <c r="Q68" s="40"/>
    </row>
    <row r="69" spans="1:17" ht="15.75" thickBot="1" x14ac:dyDescent="0.3">
      <c r="A69" s="1" t="s">
        <v>114</v>
      </c>
      <c r="D69" s="86">
        <f>D11+D30-D15</f>
        <v>0</v>
      </c>
      <c r="G69" s="40"/>
      <c r="H69" s="1" t="s">
        <v>114</v>
      </c>
      <c r="I69" s="86" t="e">
        <f>I44-I15+I45-I25-I26-I8</f>
        <v>#DIV/0!</v>
      </c>
      <c r="L69" s="40"/>
      <c r="M69" s="1" t="s">
        <v>114</v>
      </c>
      <c r="N69" s="86">
        <f>N9+N10+N16+N19</f>
        <v>0</v>
      </c>
      <c r="Q69" s="40"/>
    </row>
    <row r="70" spans="1:17" ht="15.75" thickTop="1" x14ac:dyDescent="0.25">
      <c r="A70" s="1"/>
      <c r="C70" s="94">
        <v>1.4500000000000001E-2</v>
      </c>
      <c r="D70" s="90">
        <f>D69*C70</f>
        <v>0</v>
      </c>
      <c r="E70" s="52"/>
      <c r="F70" s="52"/>
      <c r="G70" s="55"/>
      <c r="H70" s="1"/>
      <c r="I70" s="90" t="e">
        <f>I69*C70</f>
        <v>#DIV/0!</v>
      </c>
      <c r="J70" s="52"/>
      <c r="K70" s="52"/>
      <c r="L70" s="55"/>
      <c r="M70" s="1"/>
      <c r="N70" s="90">
        <f>N69*C70</f>
        <v>0</v>
      </c>
      <c r="O70" s="52"/>
      <c r="P70" s="52"/>
      <c r="Q70" s="55"/>
    </row>
    <row r="71" spans="1:17" x14ac:dyDescent="0.25">
      <c r="A71" s="1"/>
      <c r="D71" s="87"/>
      <c r="E71" s="52"/>
      <c r="F71" s="52"/>
      <c r="G71" s="55"/>
      <c r="H71" s="1"/>
      <c r="I71" s="87"/>
      <c r="J71" s="52"/>
      <c r="K71" s="52"/>
      <c r="L71" s="55"/>
      <c r="M71" s="1"/>
      <c r="N71" s="87"/>
      <c r="O71" s="52"/>
      <c r="P71" s="52"/>
      <c r="Q71" s="55"/>
    </row>
    <row r="72" spans="1:17" x14ac:dyDescent="0.25">
      <c r="A72" s="2"/>
      <c r="D72" s="87"/>
      <c r="E72" s="52"/>
      <c r="F72" s="52"/>
      <c r="G72" s="55"/>
      <c r="H72" s="2"/>
      <c r="I72" s="87"/>
      <c r="J72" s="52"/>
      <c r="K72" s="52"/>
      <c r="L72" s="55"/>
      <c r="M72" s="2"/>
      <c r="N72" s="87"/>
      <c r="O72" s="52"/>
      <c r="P72" s="52"/>
      <c r="Q72" s="55"/>
    </row>
    <row r="73" spans="1:17" ht="15.75" thickBot="1" x14ac:dyDescent="0.3">
      <c r="D73" s="86"/>
      <c r="G73" s="40"/>
      <c r="I73" s="86"/>
      <c r="L73" s="40"/>
      <c r="N73" s="86"/>
      <c r="Q73" s="40"/>
    </row>
    <row r="74" spans="1:17" ht="15.75" thickTop="1" x14ac:dyDescent="0.25">
      <c r="A74" s="1" t="s">
        <v>24</v>
      </c>
      <c r="D74" s="91" t="e">
        <f>D11+D30-D56-D65-D70+D40</f>
        <v>#DIV/0!</v>
      </c>
      <c r="E74" s="52"/>
      <c r="F74" s="52"/>
      <c r="G74" s="55"/>
      <c r="H74" s="1" t="s">
        <v>24</v>
      </c>
      <c r="I74" s="91" t="e">
        <f>I11+I30-I56-I65-I70+I40</f>
        <v>#DIV/0!</v>
      </c>
      <c r="J74" s="52"/>
      <c r="K74" s="52"/>
      <c r="L74" s="55"/>
      <c r="M74" s="1" t="s">
        <v>24</v>
      </c>
      <c r="N74" s="91" t="e">
        <f>N11+N30-N56-N65-N70+N40</f>
        <v>#DIV/0!</v>
      </c>
      <c r="O74" s="52"/>
      <c r="P74" s="52"/>
      <c r="Q74" s="55"/>
    </row>
  </sheetData>
  <sheetProtection algorithmName="SHA-512" hashValue="RHN8PCj9THJRwRU6de5afa291bXJ58aCGVDzIkDyXsRUiho/zqAxWA+1gHojyjHyLRgesodhkTK477v4nDxvAA==" saltValue="8KRj0LR1RQ0nsZJS+PsMbw==" spinCount="100000" sheet="1" objects="1" scenarios="1"/>
  <mergeCells count="3">
    <mergeCell ref="E2:F2"/>
    <mergeCell ref="J2:K2"/>
    <mergeCell ref="O2:P2"/>
  </mergeCells>
  <conditionalFormatting sqref="C48">
    <cfRule type="expression" dxfId="4" priority="6">
      <formula>$C$48</formula>
    </cfRule>
  </conditionalFormatting>
  <conditionalFormatting sqref="C57">
    <cfRule type="containsText" dxfId="3" priority="3" operator="containsText" text="FALSE">
      <formula>NOT(ISERROR(SEARCH("FALSE",C57)))</formula>
    </cfRule>
  </conditionalFormatting>
  <pageMargins left="0.7" right="0.7" top="0.75" bottom="0.75" header="0.3" footer="0.3"/>
  <pageSetup scale="91" fitToHeight="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AA3266B-6E76-499E-A3C4-5947B1CFC53B}">
            <xm:f>IF(C47='Filing Status'!J3," ")</xm:f>
            <x14:dxf>
              <fill>
                <patternFill>
                  <bgColor theme="1"/>
                </patternFill>
              </fill>
            </x14:dxf>
          </x14:cfRule>
          <x14:cfRule type="expression" priority="4" id="{61A4B27B-DD61-42F1-9402-3AB4A8C4DC1A}">
            <xm:f>IF($C$47='Filing Status'!$E$3,$C$48=" ")</xm:f>
            <x14:dxf>
              <fill>
                <patternFill>
                  <bgColor theme="1"/>
                </patternFill>
              </fill>
            </x14:dxf>
          </x14:cfRule>
          <x14:cfRule type="expression" priority="5" id="{5500DC36-40F2-476B-98F9-BAD5D7969A40}">
            <xm:f>IF($C$47='Filing Status'!$E$2,$C$48=" ")</xm:f>
            <x14:dxf>
              <fill>
                <patternFill>
                  <bgColor theme="1"/>
                </patternFill>
              </fill>
            </x14:dxf>
          </x14:cfRule>
          <xm:sqref>C48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2000000}">
          <x14:formula1>
            <xm:f>'Filing Status'!$C$2:$C$4</xm:f>
          </x14:formula1>
          <xm:sqref>C61</xm:sqref>
        </x14:dataValidation>
        <x14:dataValidation type="list" allowBlank="1" showInputMessage="1" showErrorMessage="1" xr:uid="{00000000-0002-0000-0000-000003000000}">
          <x14:formula1>
            <xm:f>'Filing Status'!$E$2:$E$3</xm:f>
          </x14:formula1>
          <xm:sqref>C47:C48</xm:sqref>
        </x14:dataValidation>
        <x14:dataValidation type="list" allowBlank="1" showInputMessage="1" showErrorMessage="1" xr:uid="{00000000-0002-0000-0000-000004000000}">
          <x14:formula1>
            <xm:f>'Filing Status'!$H$2:$H$10</xm:f>
          </x14:formula1>
          <xm:sqref>B15</xm:sqref>
        </x14:dataValidation>
        <x14:dataValidation type="list" allowBlank="1" showInputMessage="1" showErrorMessage="1" xr:uid="{00000000-0002-0000-0000-000000000000}">
          <x14:formula1>
            <xm:f>'Filing Status'!$A$3:$A$6</xm:f>
          </x14:formula1>
          <xm:sqref>C46</xm:sqref>
        </x14:dataValidation>
        <x14:dataValidation type="list" allowBlank="1" showInputMessage="1" showErrorMessage="1" xr:uid="{00000000-0002-0000-0000-000001000000}">
          <x14:formula1>
            <xm:f>'Filing Status'!$A$2:$A$4</xm:f>
          </x14:formula1>
          <xm:sqref>C60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19"/>
  <sheetViews>
    <sheetView workbookViewId="0">
      <selection activeCell="A3" sqref="A3"/>
    </sheetView>
  </sheetViews>
  <sheetFormatPr defaultColWidth="8.85546875" defaultRowHeight="15" x14ac:dyDescent="0.25"/>
  <cols>
    <col min="1" max="1" width="44.28515625" bestFit="1" customWidth="1"/>
    <col min="2" max="2" width="21" bestFit="1" customWidth="1"/>
    <col min="3" max="3" width="13.42578125" customWidth="1"/>
    <col min="5" max="5" width="14" customWidth="1"/>
    <col min="8" max="8" width="10" bestFit="1" customWidth="1"/>
  </cols>
  <sheetData>
    <row r="1" spans="1:9" x14ac:dyDescent="0.25">
      <c r="A1" t="s">
        <v>3</v>
      </c>
      <c r="C1" t="s">
        <v>25</v>
      </c>
      <c r="E1" t="s">
        <v>75</v>
      </c>
      <c r="H1" t="s">
        <v>135</v>
      </c>
    </row>
    <row r="2" spans="1:9" x14ac:dyDescent="0.25">
      <c r="A2" t="s">
        <v>186</v>
      </c>
      <c r="C2">
        <v>0</v>
      </c>
      <c r="E2" t="s">
        <v>40</v>
      </c>
      <c r="H2" t="s">
        <v>136</v>
      </c>
      <c r="I2" s="6">
        <v>0.08</v>
      </c>
    </row>
    <row r="3" spans="1:9" x14ac:dyDescent="0.25">
      <c r="A3" t="s">
        <v>1</v>
      </c>
      <c r="C3">
        <v>1</v>
      </c>
      <c r="E3" t="s">
        <v>89</v>
      </c>
      <c r="H3" t="s">
        <v>137</v>
      </c>
      <c r="I3" s="6">
        <v>0.08</v>
      </c>
    </row>
    <row r="4" spans="1:9" x14ac:dyDescent="0.25">
      <c r="A4" t="s">
        <v>2</v>
      </c>
      <c r="C4">
        <v>2</v>
      </c>
      <c r="H4" t="s">
        <v>138</v>
      </c>
      <c r="I4" s="6">
        <v>0.08</v>
      </c>
    </row>
    <row r="5" spans="1:9" x14ac:dyDescent="0.25">
      <c r="A5" t="s">
        <v>26</v>
      </c>
      <c r="H5" t="s">
        <v>146</v>
      </c>
      <c r="I5" s="6">
        <v>7.4999999999999997E-2</v>
      </c>
    </row>
    <row r="6" spans="1:9" x14ac:dyDescent="0.25">
      <c r="A6" t="s">
        <v>27</v>
      </c>
      <c r="H6" t="s">
        <v>147</v>
      </c>
      <c r="I6" s="6">
        <v>9.5000000000000001E-2</v>
      </c>
    </row>
    <row r="7" spans="1:9" x14ac:dyDescent="0.25">
      <c r="H7" t="s">
        <v>148</v>
      </c>
      <c r="I7" s="6">
        <v>7.4999999999999997E-2</v>
      </c>
    </row>
    <row r="8" spans="1:9" x14ac:dyDescent="0.25">
      <c r="H8" t="s">
        <v>149</v>
      </c>
      <c r="I8" s="6">
        <v>0.08</v>
      </c>
    </row>
    <row r="9" spans="1:9" x14ac:dyDescent="0.25">
      <c r="H9" t="s">
        <v>150</v>
      </c>
      <c r="I9" s="6">
        <v>0.08</v>
      </c>
    </row>
    <row r="10" spans="1:9" x14ac:dyDescent="0.25">
      <c r="H10" t="s">
        <v>151</v>
      </c>
      <c r="I10" s="6">
        <v>0.08</v>
      </c>
    </row>
    <row r="11" spans="1:9" x14ac:dyDescent="0.25">
      <c r="I11" s="6"/>
    </row>
    <row r="12" spans="1:9" x14ac:dyDescent="0.25">
      <c r="I12" s="6"/>
    </row>
    <row r="13" spans="1:9" x14ac:dyDescent="0.25">
      <c r="I13" s="6"/>
    </row>
    <row r="14" spans="1:9" x14ac:dyDescent="0.25">
      <c r="I14" s="6"/>
    </row>
    <row r="15" spans="1:9" x14ac:dyDescent="0.25">
      <c r="I15" s="6"/>
    </row>
    <row r="16" spans="1:9" x14ac:dyDescent="0.25">
      <c r="I16" s="6"/>
    </row>
    <row r="17" spans="9:9" x14ac:dyDescent="0.25">
      <c r="I17" s="6"/>
    </row>
    <row r="18" spans="9:9" x14ac:dyDescent="0.25">
      <c r="I18" s="6"/>
    </row>
    <row r="19" spans="9:9" x14ac:dyDescent="0.25">
      <c r="I19" s="6"/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E25"/>
  <sheetViews>
    <sheetView workbookViewId="0">
      <selection activeCell="E12" sqref="E12"/>
    </sheetView>
  </sheetViews>
  <sheetFormatPr defaultColWidth="8.85546875" defaultRowHeight="15" x14ac:dyDescent="0.25"/>
  <cols>
    <col min="1" max="1" width="35.85546875" customWidth="1"/>
    <col min="2" max="2" width="29.140625" bestFit="1" customWidth="1"/>
    <col min="3" max="3" width="14.28515625" customWidth="1"/>
    <col min="4" max="4" width="15.7109375" customWidth="1"/>
    <col min="5" max="5" width="12.85546875" customWidth="1"/>
    <col min="6" max="6" width="9.42578125" bestFit="1" customWidth="1"/>
    <col min="7" max="7" width="11.42578125" bestFit="1" customWidth="1"/>
  </cols>
  <sheetData>
    <row r="1" spans="1:5" x14ac:dyDescent="0.25">
      <c r="A1" s="7" t="s">
        <v>189</v>
      </c>
      <c r="C1" s="4" t="s">
        <v>29</v>
      </c>
      <c r="D1" s="4"/>
      <c r="E1" s="4"/>
    </row>
    <row r="2" spans="1:5" x14ac:dyDescent="0.25">
      <c r="A2" t="s">
        <v>128</v>
      </c>
    </row>
    <row r="3" spans="1:5" x14ac:dyDescent="0.25">
      <c r="A3" s="1" t="s">
        <v>190</v>
      </c>
      <c r="B3" s="4">
        <v>0</v>
      </c>
    </row>
    <row r="4" spans="1:5" x14ac:dyDescent="0.25">
      <c r="A4" s="1" t="s">
        <v>191</v>
      </c>
      <c r="B4" s="8">
        <f>12500</f>
        <v>12500</v>
      </c>
    </row>
    <row r="5" spans="1:5" x14ac:dyDescent="0.25">
      <c r="A5" s="1" t="s">
        <v>192</v>
      </c>
      <c r="B5" s="8">
        <f>25000</f>
        <v>25000</v>
      </c>
    </row>
    <row r="6" spans="1:5" x14ac:dyDescent="0.25">
      <c r="A6" s="1" t="s">
        <v>17</v>
      </c>
      <c r="B6" s="8">
        <f>12500</f>
        <v>12500</v>
      </c>
    </row>
    <row r="7" spans="1:5" x14ac:dyDescent="0.25">
      <c r="A7" s="1" t="s">
        <v>193</v>
      </c>
      <c r="B7" s="71">
        <v>3.09E-2</v>
      </c>
      <c r="C7" s="8"/>
    </row>
    <row r="8" spans="1:5" x14ac:dyDescent="0.25">
      <c r="A8" s="110" t="s">
        <v>18</v>
      </c>
      <c r="B8" s="111">
        <v>3.09E-2</v>
      </c>
      <c r="C8" s="112"/>
    </row>
    <row r="9" spans="1:5" x14ac:dyDescent="0.25">
      <c r="A9" s="110" t="s">
        <v>19</v>
      </c>
      <c r="B9" s="111">
        <v>3.09E-2</v>
      </c>
      <c r="C9" s="112">
        <v>0</v>
      </c>
    </row>
    <row r="10" spans="1:5" x14ac:dyDescent="0.25">
      <c r="B10" s="2" t="s">
        <v>1</v>
      </c>
    </row>
    <row r="11" spans="1:5" x14ac:dyDescent="0.25">
      <c r="B11" t="s">
        <v>161</v>
      </c>
      <c r="C11" s="101" t="e">
        <f>C24</f>
        <v>#DIV/0!</v>
      </c>
      <c r="D11" s="101" t="e">
        <f>D24</f>
        <v>#DIV/0!</v>
      </c>
      <c r="E11" s="101" t="e">
        <f>E24</f>
        <v>#DIV/0!</v>
      </c>
    </row>
    <row r="12" spans="1:5" x14ac:dyDescent="0.25">
      <c r="A12" s="65" t="s">
        <v>96</v>
      </c>
      <c r="B12" t="s">
        <v>157</v>
      </c>
      <c r="C12" s="103" t="e">
        <f>'Pay Check Comparision'!D64</f>
        <v>#DIV/0!</v>
      </c>
      <c r="D12" s="115" t="e">
        <f>'Pay Check Comparision'!I64</f>
        <v>#DIV/0!</v>
      </c>
      <c r="E12" s="116" t="e">
        <f>'Pay Check Comparision'!N64</f>
        <v>#DIV/0!</v>
      </c>
    </row>
    <row r="13" spans="1:5" x14ac:dyDescent="0.25">
      <c r="A13" s="65" t="s">
        <v>16</v>
      </c>
      <c r="B13" s="106" t="s">
        <v>195</v>
      </c>
      <c r="C13" s="107">
        <f>$B$4/C15</f>
        <v>1041.6666666666667</v>
      </c>
      <c r="D13" s="107">
        <f>$B$4/D15</f>
        <v>1041.6666666666667</v>
      </c>
      <c r="E13" s="107">
        <f>$B$4/E15</f>
        <v>1041.6666666666667</v>
      </c>
    </row>
    <row r="14" spans="1:5" x14ac:dyDescent="0.25">
      <c r="A14" s="65"/>
      <c r="B14" s="106" t="s">
        <v>195</v>
      </c>
      <c r="C14" s="107">
        <f>$B$5/C15</f>
        <v>2083.3333333333335</v>
      </c>
      <c r="D14" s="107">
        <f>$B$5/D15</f>
        <v>2083.3333333333335</v>
      </c>
      <c r="E14" s="107">
        <f>$B$5/E15</f>
        <v>2083.3333333333335</v>
      </c>
    </row>
    <row r="15" spans="1:5" x14ac:dyDescent="0.25">
      <c r="A15" s="65"/>
      <c r="B15" t="s">
        <v>159</v>
      </c>
      <c r="C15" s="65">
        <v>12</v>
      </c>
      <c r="D15" s="65">
        <v>12</v>
      </c>
      <c r="E15" s="65">
        <v>12</v>
      </c>
    </row>
    <row r="16" spans="1:5" x14ac:dyDescent="0.25">
      <c r="B16" s="108" t="s">
        <v>187</v>
      </c>
      <c r="C16" s="109">
        <f>'Pay Check Comparision'!$C$60</f>
        <v>0</v>
      </c>
      <c r="D16" s="109">
        <f>'Pay Check Comparision'!$C$60</f>
        <v>0</v>
      </c>
      <c r="E16" s="109">
        <f>'Pay Check Comparision'!$C$60</f>
        <v>0</v>
      </c>
    </row>
    <row r="17" spans="1:5" x14ac:dyDescent="0.25">
      <c r="B17" s="108" t="s">
        <v>158</v>
      </c>
      <c r="C17" s="109">
        <f>'Pay Check Comparision'!$C$61</f>
        <v>0</v>
      </c>
      <c r="D17" s="109">
        <f>'Pay Check Comparision'!$C$61</f>
        <v>0</v>
      </c>
      <c r="E17" s="109">
        <f>'Pay Check Comparision'!$C$61</f>
        <v>0</v>
      </c>
    </row>
    <row r="18" spans="1:5" x14ac:dyDescent="0.25">
      <c r="A18" s="72" t="s">
        <v>194</v>
      </c>
      <c r="B18" t="s">
        <v>186</v>
      </c>
      <c r="C18" s="102" t="e">
        <f>IF((C12&gt;0),(C12*$B$7),0)</f>
        <v>#DIV/0!</v>
      </c>
      <c r="D18" s="102" t="e">
        <f t="shared" ref="D18:E18" si="0">IF((D12&gt;0),(D12*$B$7),0)</f>
        <v>#DIV/0!</v>
      </c>
      <c r="E18" s="102" t="e">
        <f t="shared" si="0"/>
        <v>#DIV/0!</v>
      </c>
    </row>
    <row r="19" spans="1:5" x14ac:dyDescent="0.25">
      <c r="A19" s="72"/>
      <c r="B19" t="s">
        <v>197</v>
      </c>
      <c r="C19" s="104">
        <f>IF((C16="Single "),AND(C17=1))*(-C13*$B$7)</f>
        <v>0</v>
      </c>
      <c r="D19" s="104">
        <f t="shared" ref="D19:E19" si="1">IF((D16="Single "),AND(D17=1))*(-D13*$B$7)</f>
        <v>0</v>
      </c>
      <c r="E19" s="104">
        <f t="shared" si="1"/>
        <v>0</v>
      </c>
    </row>
    <row r="20" spans="1:5" x14ac:dyDescent="0.25">
      <c r="A20" s="72"/>
      <c r="B20" t="s">
        <v>196</v>
      </c>
      <c r="C20" s="104">
        <f>IF((C16="Single "),AND(C17=2))*(-C13*$B$7)</f>
        <v>0</v>
      </c>
      <c r="D20" s="104">
        <f t="shared" ref="D20:E20" si="2">IF((D16="Single "),AND(D17=2))*(-D13*$B$7)</f>
        <v>0</v>
      </c>
      <c r="E20" s="104">
        <f t="shared" si="2"/>
        <v>0</v>
      </c>
    </row>
    <row r="21" spans="1:5" x14ac:dyDescent="0.25">
      <c r="A21" s="72" t="s">
        <v>98</v>
      </c>
      <c r="B21" t="s">
        <v>198</v>
      </c>
      <c r="C21" s="104">
        <f>IF((C16="Married"),AND(C17=1))*(-C13*$B$7)</f>
        <v>0</v>
      </c>
      <c r="D21" s="104">
        <f t="shared" ref="D21:E21" si="3">IF((D16="Married"),AND(D17=1))*(-D13*$B$7)</f>
        <v>0</v>
      </c>
      <c r="E21" s="104">
        <f t="shared" si="3"/>
        <v>0</v>
      </c>
    </row>
    <row r="22" spans="1:5" x14ac:dyDescent="0.25">
      <c r="A22" s="72"/>
      <c r="B22" t="s">
        <v>199</v>
      </c>
      <c r="C22" s="104">
        <f>IF((C16="Married"),AND(C17=2))*(-C14*$B$7)</f>
        <v>0</v>
      </c>
      <c r="D22" s="104">
        <f t="shared" ref="D22:E22" si="4">IF((D16="Married"),AND(D17=2))*(-D14*$B$7)</f>
        <v>0</v>
      </c>
      <c r="E22" s="104">
        <f t="shared" si="4"/>
        <v>0</v>
      </c>
    </row>
    <row r="23" spans="1:5" x14ac:dyDescent="0.25">
      <c r="A23" s="72" t="s">
        <v>156</v>
      </c>
      <c r="B23" t="s">
        <v>200</v>
      </c>
      <c r="C23" s="104">
        <f>-'Pay Check Comparision'!$C$63</f>
        <v>0</v>
      </c>
      <c r="D23" s="104">
        <f>-'Pay Check Comparision'!$C$63</f>
        <v>0</v>
      </c>
      <c r="E23" s="104">
        <f>-'Pay Check Comparision'!$C$63</f>
        <v>0</v>
      </c>
    </row>
    <row r="24" spans="1:5" x14ac:dyDescent="0.25">
      <c r="A24" s="72" t="s">
        <v>188</v>
      </c>
      <c r="B24" t="s">
        <v>160</v>
      </c>
      <c r="C24" s="101" t="e">
        <f>C18+C20+C19+C21+C22-C23</f>
        <v>#DIV/0!</v>
      </c>
      <c r="D24" s="101" t="e">
        <f t="shared" ref="D24:E24" si="5">D18+D20+D19+D21+D22-D23</f>
        <v>#DIV/0!</v>
      </c>
      <c r="E24" s="101" t="e">
        <f t="shared" si="5"/>
        <v>#DIV/0!</v>
      </c>
    </row>
    <row r="25" spans="1:5" x14ac:dyDescent="0.25">
      <c r="A25" s="72"/>
      <c r="C25" s="65"/>
      <c r="D25" s="65"/>
      <c r="E25" s="65"/>
    </row>
  </sheetData>
  <sheetProtection algorithmName="SHA-512" hashValue="lzkHs+8zGpWEYhDufg6Yt2wFdRDFUhxvGw2g2FOjC0lV1da9r3g0w6sqWU/SGpp0EWLVkVCvBoE6gmKvgrIrBA==" saltValue="g2sTrLpewDQt2bj1Yb3p5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K44"/>
  <sheetViews>
    <sheetView workbookViewId="0">
      <selection activeCell="H22" sqref="H22"/>
    </sheetView>
  </sheetViews>
  <sheetFormatPr defaultColWidth="8.85546875" defaultRowHeight="15" x14ac:dyDescent="0.25"/>
  <cols>
    <col min="2" max="2" width="9.140625" customWidth="1"/>
    <col min="3" max="3" width="91.140625" customWidth="1"/>
    <col min="4" max="4" width="12.7109375" customWidth="1"/>
    <col min="5" max="5" width="13.85546875" customWidth="1"/>
    <col min="6" max="6" width="17.85546875" customWidth="1"/>
    <col min="7" max="7" width="16" bestFit="1" customWidth="1"/>
    <col min="8" max="8" width="12.140625" customWidth="1"/>
    <col min="9" max="9" width="11.7109375" bestFit="1" customWidth="1"/>
  </cols>
  <sheetData>
    <row r="1" spans="1:11" x14ac:dyDescent="0.25">
      <c r="A1" s="1" t="s">
        <v>28</v>
      </c>
    </row>
    <row r="2" spans="1:11" x14ac:dyDescent="0.25">
      <c r="D2" s="16" t="s">
        <v>115</v>
      </c>
      <c r="E2" s="16" t="s">
        <v>115</v>
      </c>
      <c r="F2" s="16" t="s">
        <v>115</v>
      </c>
    </row>
    <row r="3" spans="1:11" x14ac:dyDescent="0.25">
      <c r="A3" t="s">
        <v>30</v>
      </c>
      <c r="B3" t="s">
        <v>31</v>
      </c>
    </row>
    <row r="5" spans="1:11" x14ac:dyDescent="0.25">
      <c r="B5" t="s">
        <v>32</v>
      </c>
      <c r="C5" t="s">
        <v>33</v>
      </c>
      <c r="D5" s="43" t="e">
        <f>'Pay Check Comparision'!D44</f>
        <v>#DIV/0!</v>
      </c>
      <c r="E5" s="42" t="e">
        <f>'Pay Check Comparision'!I44</f>
        <v>#DIV/0!</v>
      </c>
      <c r="F5" s="59" t="e">
        <f>'Pay Check Comparision'!N44</f>
        <v>#DIV/0!</v>
      </c>
    </row>
    <row r="6" spans="1:11" x14ac:dyDescent="0.25">
      <c r="B6" t="s">
        <v>35</v>
      </c>
      <c r="C6" t="s">
        <v>34</v>
      </c>
      <c r="D6" s="33">
        <v>1</v>
      </c>
      <c r="E6">
        <v>1</v>
      </c>
      <c r="F6">
        <v>1</v>
      </c>
    </row>
    <row r="7" spans="1:11" x14ac:dyDescent="0.25">
      <c r="B7" t="s">
        <v>36</v>
      </c>
      <c r="C7" t="s">
        <v>37</v>
      </c>
      <c r="D7" s="3" t="e">
        <f>D5*D6</f>
        <v>#DIV/0!</v>
      </c>
      <c r="E7" t="e">
        <f>E5*E6</f>
        <v>#DIV/0!</v>
      </c>
      <c r="F7" t="e">
        <f>F5*F6</f>
        <v>#DIV/0!</v>
      </c>
    </row>
    <row r="8" spans="1:11" x14ac:dyDescent="0.25">
      <c r="D8" s="3"/>
    </row>
    <row r="9" spans="1:11" s="11" customFormat="1" ht="45" customHeight="1" x14ac:dyDescent="0.25">
      <c r="D9" s="34"/>
      <c r="H9" s="36" t="s">
        <v>73</v>
      </c>
      <c r="I9" s="35" t="s">
        <v>74</v>
      </c>
    </row>
    <row r="10" spans="1:11" x14ac:dyDescent="0.25">
      <c r="A10" t="s">
        <v>46</v>
      </c>
      <c r="D10" s="3"/>
      <c r="H10">
        <f>'Pay Check Comparision'!C47</f>
        <v>0</v>
      </c>
      <c r="I10">
        <f>'Pay Check Comparision'!C48</f>
        <v>0</v>
      </c>
    </row>
    <row r="11" spans="1:11" ht="15.75" thickBot="1" x14ac:dyDescent="0.3">
      <c r="B11" t="s">
        <v>38</v>
      </c>
      <c r="C11" t="s">
        <v>101</v>
      </c>
      <c r="D11" s="32" t="str">
        <f>IF($H$10='Filing Status'!$E$2,'Pay Check Comparision'!$C$51,"0")</f>
        <v>0</v>
      </c>
      <c r="E11" s="32" t="str">
        <f>IF($H$10='Filing Status'!$E$2,'Pay Check Comparision'!$C$51,"0")</f>
        <v>0</v>
      </c>
      <c r="F11" s="32" t="str">
        <f>IF($H$10='Filing Status'!$E$2,'Pay Check Comparision'!$C$51,"0")</f>
        <v>0</v>
      </c>
    </row>
    <row r="12" spans="1:11" ht="15.75" thickTop="1" x14ac:dyDescent="0.25">
      <c r="B12" t="s">
        <v>41</v>
      </c>
      <c r="C12" t="s">
        <v>72</v>
      </c>
      <c r="D12" s="9" t="str">
        <f>IF($H$10='Filing Status'!$E$2,D7+D11,"0")</f>
        <v>0</v>
      </c>
      <c r="E12" s="9" t="str">
        <f>IF($H$10='Filing Status'!$E$2,E7+E11,"0")</f>
        <v>0</v>
      </c>
      <c r="F12" s="9" t="str">
        <f>IF($H$10='Filing Status'!$E$2,F7+F11,"0")</f>
        <v>0</v>
      </c>
    </row>
    <row r="13" spans="1:11" x14ac:dyDescent="0.25">
      <c r="B13" t="s">
        <v>42</v>
      </c>
      <c r="C13" t="s">
        <v>100</v>
      </c>
      <c r="D13" s="9" t="str">
        <f>IF($H$10='Filing Status'!$E$2,'Pay Check Comparision'!$C$52,"0")</f>
        <v>0</v>
      </c>
      <c r="E13" s="9" t="str">
        <f>IF($H$10='Filing Status'!$E$2,'Pay Check Comparision'!$C$52,"0")</f>
        <v>0</v>
      </c>
      <c r="F13" s="9" t="str">
        <f>IF($H$10='Filing Status'!$E$2,'Pay Check Comparision'!$C$52,"0")</f>
        <v>0</v>
      </c>
    </row>
    <row r="14" spans="1:11" s="11" customFormat="1" ht="36.75" customHeight="1" thickBot="1" x14ac:dyDescent="0.3">
      <c r="B14" s="11" t="s">
        <v>43</v>
      </c>
      <c r="C14" s="12" t="s">
        <v>126</v>
      </c>
      <c r="D14" s="13" t="str">
        <f>IF(AND($H$10='Filing Status'!$E$2),IF($I$10='Filing Status'!$E$2,"0",IF('Pay Check Comparision'!$C$46='Filing Status'!$A$4,$H$14,IF('Pay Check Comparision'!$C$46&lt;&gt;'Filing Status'!$A$4,$I$14))),"0")</f>
        <v>0</v>
      </c>
      <c r="E14" s="13" t="str">
        <f>IF(AND($H$10='Filing Status'!$E$2),IF($I$10='Filing Status'!$E$2,"0",IF('Pay Check Comparision'!$C$46='Filing Status'!$A$4,$H$14,IF('Pay Check Comparision'!$C$46&lt;&gt;'Filing Status'!$A$4,$I$14))),"0")</f>
        <v>0</v>
      </c>
      <c r="F14" s="13" t="str">
        <f>IF(AND($H$10='Filing Status'!$E$2),IF($I$10='Filing Status'!$E$2,"0",IF('Pay Check Comparision'!$C$46='Filing Status'!$A$4,$H$14,IF('Pay Check Comparision'!$C$46&lt;&gt;'Filing Status'!$A$4,$I$14))),"0")</f>
        <v>0</v>
      </c>
      <c r="H14" s="11">
        <f>J14/12</f>
        <v>1075</v>
      </c>
      <c r="I14" s="11">
        <f>K14/12</f>
        <v>716.66666666666663</v>
      </c>
      <c r="J14" s="14">
        <v>12900</v>
      </c>
      <c r="K14" s="14">
        <v>8600</v>
      </c>
    </row>
    <row r="15" spans="1:11" ht="15.75" thickTop="1" x14ac:dyDescent="0.25">
      <c r="B15" t="s">
        <v>44</v>
      </c>
      <c r="C15" t="s">
        <v>76</v>
      </c>
      <c r="D15" s="9">
        <f>D13+D14</f>
        <v>0</v>
      </c>
      <c r="E15" s="9">
        <f>E13+E14</f>
        <v>0</v>
      </c>
      <c r="F15" s="9">
        <f>F13+F14</f>
        <v>0</v>
      </c>
    </row>
    <row r="16" spans="1:11" x14ac:dyDescent="0.25">
      <c r="B16" t="s">
        <v>45</v>
      </c>
      <c r="C16" t="s">
        <v>80</v>
      </c>
      <c r="D16" s="3">
        <f>MAX(0,D12-D15)</f>
        <v>0</v>
      </c>
      <c r="E16" s="3">
        <f>MAX(0,E12-E15)</f>
        <v>0</v>
      </c>
      <c r="F16" s="3">
        <f>MAX(0,F12-F15)</f>
        <v>0</v>
      </c>
    </row>
    <row r="17" spans="1:9" ht="45" x14ac:dyDescent="0.25">
      <c r="D17" s="3"/>
      <c r="H17" s="36" t="s">
        <v>73</v>
      </c>
    </row>
    <row r="18" spans="1:9" x14ac:dyDescent="0.25">
      <c r="A18" t="s">
        <v>47</v>
      </c>
      <c r="D18" s="3"/>
      <c r="H18">
        <f>'Pay Check Comparision'!C47</f>
        <v>0</v>
      </c>
    </row>
    <row r="19" spans="1:9" x14ac:dyDescent="0.25">
      <c r="B19" t="s">
        <v>48</v>
      </c>
      <c r="C19" t="s">
        <v>78</v>
      </c>
      <c r="D19" s="33" t="str">
        <f>IF(($H$18='Filing Status'!$E$3),('Pay Check Comparision'!$C$50),"0")</f>
        <v>0</v>
      </c>
      <c r="E19" s="33" t="str">
        <f>IF(($H$18='Filing Status'!$E$3),('Pay Check Comparision'!$C$50),"0")</f>
        <v>0</v>
      </c>
      <c r="F19" s="33" t="str">
        <f>IF(($H$18='Filing Status'!$E$3),('Pay Check Comparision'!$C$50),"0")</f>
        <v>0</v>
      </c>
    </row>
    <row r="20" spans="1:9" ht="15.75" thickBot="1" x14ac:dyDescent="0.3">
      <c r="B20" t="s">
        <v>49</v>
      </c>
      <c r="C20" s="4" t="s">
        <v>77</v>
      </c>
      <c r="D20" s="10" t="str">
        <f>IF(($H$18='Filing Status'!$E$3),(D19*$H$20),"0")</f>
        <v>0</v>
      </c>
      <c r="E20" s="10" t="str">
        <f>IF(($H$18='Filing Status'!$E$3),(E19*$H$20),"0")</f>
        <v>0</v>
      </c>
      <c r="F20" s="10" t="str">
        <f>IF(($H$18='Filing Status'!$E$3),(F19*$H$20),"0")</f>
        <v>0</v>
      </c>
      <c r="H20">
        <f>(4300/12)</f>
        <v>358.33333333333331</v>
      </c>
      <c r="I20" s="8">
        <v>4300</v>
      </c>
    </row>
    <row r="21" spans="1:9" ht="15.75" thickTop="1" x14ac:dyDescent="0.25">
      <c r="B21" t="s">
        <v>50</v>
      </c>
      <c r="C21" t="s">
        <v>79</v>
      </c>
      <c r="D21" s="3" t="e">
        <f>IF((AND(($H$18='Filing Status'!$E$3),(D7-D20)&gt;0)),(D7-D20),"0")</f>
        <v>#DIV/0!</v>
      </c>
      <c r="E21" s="3" t="e">
        <f>IF((AND(($H$18='Filing Status'!$E$3),(E7-E20)&gt;0)),(E7-E20),"0")</f>
        <v>#DIV/0!</v>
      </c>
      <c r="F21" s="3" t="e">
        <f>IF((AND(($H$18='Filing Status'!$E$3),(F7-F20)&gt;0)),(F7-F20),"0")</f>
        <v>#DIV/0!</v>
      </c>
    </row>
    <row r="22" spans="1:9" x14ac:dyDescent="0.25">
      <c r="D22" s="3"/>
    </row>
    <row r="23" spans="1:9" x14ac:dyDescent="0.25">
      <c r="A23" t="s">
        <v>51</v>
      </c>
      <c r="B23" t="s">
        <v>52</v>
      </c>
    </row>
    <row r="24" spans="1:9" x14ac:dyDescent="0.25">
      <c r="B24" t="s">
        <v>53</v>
      </c>
    </row>
    <row r="26" spans="1:9" x14ac:dyDescent="0.25">
      <c r="B26" t="s">
        <v>54</v>
      </c>
    </row>
    <row r="28" spans="1:9" x14ac:dyDescent="0.25">
      <c r="B28" t="s">
        <v>55</v>
      </c>
      <c r="C28" t="s">
        <v>81</v>
      </c>
      <c r="D28" s="43" t="e">
        <f>MAX(D16,D21)</f>
        <v>#DIV/0!</v>
      </c>
      <c r="E28" s="42" t="e">
        <f>MAX(E16,E21)</f>
        <v>#DIV/0!</v>
      </c>
      <c r="F28" s="59" t="e">
        <f>MAX(F16,F21)</f>
        <v>#DIV/0!</v>
      </c>
    </row>
    <row r="29" spans="1:9" ht="48.75" customHeight="1" x14ac:dyDescent="0.25">
      <c r="B29" t="s">
        <v>56</v>
      </c>
      <c r="C29" s="11" t="s">
        <v>107</v>
      </c>
      <c r="D29" s="5"/>
      <c r="E29" s="39"/>
      <c r="F29" s="39"/>
    </row>
    <row r="30" spans="1:9" x14ac:dyDescent="0.25">
      <c r="B30" t="s">
        <v>57</v>
      </c>
      <c r="C30" t="s">
        <v>102</v>
      </c>
      <c r="D30" s="5"/>
      <c r="E30" s="39"/>
      <c r="F30" s="39"/>
    </row>
    <row r="31" spans="1:9" x14ac:dyDescent="0.25">
      <c r="B31" t="s">
        <v>58</v>
      </c>
      <c r="C31" t="s">
        <v>103</v>
      </c>
      <c r="D31" s="5"/>
      <c r="E31" s="39"/>
      <c r="F31" s="39"/>
    </row>
    <row r="32" spans="1:9" x14ac:dyDescent="0.25">
      <c r="B32" t="s">
        <v>59</v>
      </c>
      <c r="C32" t="s">
        <v>104</v>
      </c>
      <c r="D32" s="5"/>
      <c r="E32" s="39"/>
      <c r="F32" s="39"/>
    </row>
    <row r="33" spans="1:6" x14ac:dyDescent="0.25">
      <c r="B33" t="s">
        <v>60</v>
      </c>
      <c r="C33" t="s">
        <v>105</v>
      </c>
      <c r="D33" s="5"/>
      <c r="E33" s="39"/>
      <c r="F33" s="39"/>
    </row>
    <row r="34" spans="1:6" x14ac:dyDescent="0.25">
      <c r="B34" t="s">
        <v>61</v>
      </c>
      <c r="C34" t="s">
        <v>106</v>
      </c>
      <c r="D34" s="47">
        <f>MAX('2025 Percentage Method Tables'!$D$7,'2025 Percentage Method Tables'!$L$7)</f>
        <v>0</v>
      </c>
      <c r="E34" s="48">
        <f>MAX('2025 Percentage Method Tables'!$E$7,'2025 Percentage Method Tables'!$M$7)</f>
        <v>0</v>
      </c>
      <c r="F34" s="60">
        <f>MAX('2025 Percentage Method Tables'!$F$7,'2025 Percentage Method Tables'!$N$7)</f>
        <v>0</v>
      </c>
    </row>
    <row r="35" spans="1:6" s="11" customFormat="1" ht="30" x14ac:dyDescent="0.25">
      <c r="B35" s="11" t="s">
        <v>62</v>
      </c>
      <c r="C35" s="11" t="s">
        <v>108</v>
      </c>
      <c r="D35" s="11">
        <f>D34/D6</f>
        <v>0</v>
      </c>
      <c r="E35" s="34">
        <f>E34/E6</f>
        <v>0</v>
      </c>
      <c r="F35" s="34">
        <f>F34/F6</f>
        <v>0</v>
      </c>
    </row>
    <row r="37" spans="1:6" x14ac:dyDescent="0.25">
      <c r="A37" t="s">
        <v>63</v>
      </c>
      <c r="B37" t="s">
        <v>64</v>
      </c>
    </row>
    <row r="38" spans="1:6" x14ac:dyDescent="0.25">
      <c r="B38" t="s">
        <v>65</v>
      </c>
      <c r="C38" t="s">
        <v>109</v>
      </c>
      <c r="D38" t="str">
        <f>IF($H$10='Filing Status'!$E$2,'Pay Check Comparision'!$C$53,"0")</f>
        <v>0</v>
      </c>
      <c r="E38" t="str">
        <f>IF($H$10='Filing Status'!$E$2,'Pay Check Comparision'!$C$53,"0")</f>
        <v>0</v>
      </c>
      <c r="F38" t="str">
        <f>IF($H$10='Filing Status'!$E$2,'Pay Check Comparision'!$C$53,"0")</f>
        <v>0</v>
      </c>
    </row>
    <row r="39" spans="1:6" x14ac:dyDescent="0.25">
      <c r="B39" t="s">
        <v>66</v>
      </c>
      <c r="C39" t="s">
        <v>110</v>
      </c>
      <c r="D39">
        <f>D38/12</f>
        <v>0</v>
      </c>
      <c r="E39">
        <f>E38/12</f>
        <v>0</v>
      </c>
      <c r="F39">
        <f>F38/12</f>
        <v>0</v>
      </c>
    </row>
    <row r="40" spans="1:6" x14ac:dyDescent="0.25">
      <c r="B40" t="s">
        <v>67</v>
      </c>
      <c r="C40" t="s">
        <v>111</v>
      </c>
      <c r="D40">
        <f>MAX(0,D35-D39)</f>
        <v>0</v>
      </c>
      <c r="E40" s="3">
        <f>MAX(0,E35-E39)</f>
        <v>0</v>
      </c>
      <c r="F40">
        <f>MAX(0,F35-F39)</f>
        <v>0</v>
      </c>
    </row>
    <row r="42" spans="1:6" x14ac:dyDescent="0.25">
      <c r="A42" t="s">
        <v>68</v>
      </c>
      <c r="B42" t="s">
        <v>69</v>
      </c>
    </row>
    <row r="43" spans="1:6" s="11" customFormat="1" ht="30" x14ac:dyDescent="0.25">
      <c r="B43" s="11" t="s">
        <v>70</v>
      </c>
      <c r="C43" s="11" t="s">
        <v>112</v>
      </c>
      <c r="D43" s="11">
        <f>'Pay Check Comparision'!$C$49</f>
        <v>0</v>
      </c>
      <c r="E43" s="11">
        <f>'Pay Check Comparision'!$C$49</f>
        <v>0</v>
      </c>
      <c r="F43" s="11">
        <f>'Pay Check Comparision'!$C$49</f>
        <v>0</v>
      </c>
    </row>
    <row r="44" spans="1:6" x14ac:dyDescent="0.25">
      <c r="B44" t="s">
        <v>71</v>
      </c>
      <c r="C44" t="s">
        <v>113</v>
      </c>
      <c r="D44" s="41">
        <f>D40+D43</f>
        <v>0</v>
      </c>
      <c r="E44" s="42">
        <f>E40+E43</f>
        <v>0</v>
      </c>
      <c r="F44" s="59">
        <f>F40+F43</f>
        <v>0</v>
      </c>
    </row>
  </sheetData>
  <sheetProtection algorithmName="SHA-512" hashValue="nFPMWl/JosNHw1Cx5Pf56OSz6X+0wYYIo7/B/ZDTxGT+7PBFxvy2tan7HEJ8jxswC3tIL0eejm9Pxw97Gd+0cg==" saltValue="ERR5gIZZU52CKXDS3FU8k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2:S81"/>
  <sheetViews>
    <sheetView workbookViewId="0">
      <selection activeCell="E7" sqref="E7"/>
    </sheetView>
  </sheetViews>
  <sheetFormatPr defaultColWidth="8.85546875" defaultRowHeight="15" x14ac:dyDescent="0.25"/>
  <cols>
    <col min="1" max="1" width="13.140625" customWidth="1"/>
    <col min="2" max="2" width="15" customWidth="1"/>
    <col min="3" max="3" width="18.42578125" customWidth="1"/>
    <col min="4" max="4" width="19.140625" customWidth="1"/>
    <col min="5" max="5" width="24.42578125" customWidth="1"/>
    <col min="6" max="6" width="16.42578125" customWidth="1"/>
    <col min="7" max="7" width="13.7109375" style="3" bestFit="1" customWidth="1"/>
    <col min="8" max="8" width="13.7109375" style="3" customWidth="1"/>
    <col min="9" max="9" width="13.140625" customWidth="1"/>
    <col min="10" max="10" width="15" customWidth="1"/>
    <col min="11" max="11" width="18.42578125" customWidth="1"/>
    <col min="12" max="12" width="19.140625" customWidth="1"/>
    <col min="13" max="13" width="24.42578125" customWidth="1"/>
    <col min="14" max="14" width="21.28515625" customWidth="1"/>
    <col min="15" max="15" width="18.42578125" customWidth="1"/>
    <col min="16" max="16" width="17" customWidth="1"/>
    <col min="17" max="17" width="9.7109375" bestFit="1" customWidth="1"/>
  </cols>
  <sheetData>
    <row r="2" spans="1:16" x14ac:dyDescent="0.25">
      <c r="A2" s="119" t="s">
        <v>118</v>
      </c>
      <c r="B2" s="119"/>
      <c r="C2" s="119"/>
      <c r="D2" s="119"/>
      <c r="E2" s="119"/>
      <c r="I2" s="120" t="s">
        <v>119</v>
      </c>
      <c r="J2" s="120"/>
      <c r="K2" s="120"/>
      <c r="L2" s="120"/>
      <c r="M2" s="120"/>
    </row>
    <row r="3" spans="1:16" x14ac:dyDescent="0.25">
      <c r="A3" t="s">
        <v>90</v>
      </c>
      <c r="I3" t="s">
        <v>92</v>
      </c>
    </row>
    <row r="4" spans="1:16" x14ac:dyDescent="0.25">
      <c r="A4" t="s">
        <v>91</v>
      </c>
      <c r="I4" t="s">
        <v>93</v>
      </c>
    </row>
    <row r="5" spans="1:16" x14ac:dyDescent="0.25">
      <c r="D5" t="s">
        <v>127</v>
      </c>
      <c r="L5" t="s">
        <v>128</v>
      </c>
    </row>
    <row r="6" spans="1:16" x14ac:dyDescent="0.25">
      <c r="A6" t="s">
        <v>129</v>
      </c>
      <c r="D6" s="44" t="str">
        <f>IF(OR('Pay Check Comparision'!$C$47='Filing Status'!$E$3,'Pay Check Comparision'!$C$48='Filing Status'!$E$3),'Federal Withholding  Hidden '!D28," ")</f>
        <v xml:space="preserve"> </v>
      </c>
      <c r="E6" s="58" t="str">
        <f>IF(OR('Pay Check Comparision'!$C$47='Filing Status'!$E$3,'Pay Check Comparision'!$C$48='Filing Status'!$E$3),'Federal Withholding  Hidden '!E28," ")</f>
        <v xml:space="preserve"> </v>
      </c>
      <c r="F6" s="61" t="str">
        <f>IF(OR('Pay Check Comparision'!$C$47='Filing Status'!$E$3,'Pay Check Comparision'!$C$48='Filing Status'!$E$3),'Federal Withholding  Hidden '!F28," ")</f>
        <v xml:space="preserve"> </v>
      </c>
      <c r="I6" t="s">
        <v>129</v>
      </c>
      <c r="L6" s="43" t="str">
        <f>IF(AND('Pay Check Comparision'!$C$47='Filing Status'!$E$2,'Pay Check Comparision'!$C$48='Filing Status'!$E$2),'Federal Withholding  Hidden '!D28," ")</f>
        <v xml:space="preserve"> </v>
      </c>
      <c r="M6" s="42" t="str">
        <f>IF(AND('Pay Check Comparision'!$C$47='Filing Status'!$E$2,'Pay Check Comparision'!$C$48='Filing Status'!$E$2),'Federal Withholding  Hidden '!E28," ")</f>
        <v xml:space="preserve"> </v>
      </c>
      <c r="N6" s="62" t="str">
        <f>IF(AND('Pay Check Comparision'!$C$47='Filing Status'!$E$2,'Pay Check Comparision'!$C$48='Filing Status'!$E$2),'Federal Withholding  Hidden '!F28," ")</f>
        <v xml:space="preserve"> </v>
      </c>
    </row>
    <row r="7" spans="1:16" x14ac:dyDescent="0.25">
      <c r="C7" t="s">
        <v>99</v>
      </c>
      <c r="D7" s="47">
        <f>MAX(F12:F39)</f>
        <v>0</v>
      </c>
      <c r="E7" s="57">
        <f>MAX(G12:G39)</f>
        <v>0</v>
      </c>
      <c r="F7" s="60">
        <f>MAX(H12:H39)</f>
        <v>0</v>
      </c>
      <c r="K7" t="s">
        <v>99</v>
      </c>
      <c r="L7" s="47">
        <f>MAX(N12:N39)</f>
        <v>0</v>
      </c>
      <c r="M7" s="57">
        <f>MAX(O12:O39)</f>
        <v>0</v>
      </c>
      <c r="N7" s="60">
        <f>MAX(P12:P39)</f>
        <v>0</v>
      </c>
    </row>
    <row r="8" spans="1:16" s="11" customFormat="1" ht="48" customHeight="1" x14ac:dyDescent="0.25">
      <c r="A8" s="11" t="s">
        <v>83</v>
      </c>
      <c r="B8" s="11" t="s">
        <v>84</v>
      </c>
      <c r="C8" s="11" t="s">
        <v>85</v>
      </c>
      <c r="D8" s="11" t="s">
        <v>86</v>
      </c>
      <c r="E8" s="11" t="s">
        <v>87</v>
      </c>
      <c r="G8" s="34"/>
      <c r="H8" s="34"/>
      <c r="I8" s="11" t="s">
        <v>83</v>
      </c>
      <c r="J8" s="11" t="s">
        <v>84</v>
      </c>
      <c r="K8" s="11" t="s">
        <v>85</v>
      </c>
      <c r="L8" s="11" t="s">
        <v>86</v>
      </c>
      <c r="M8" s="11" t="s">
        <v>87</v>
      </c>
    </row>
    <row r="9" spans="1:16" x14ac:dyDescent="0.25">
      <c r="A9" s="29" t="s">
        <v>96</v>
      </c>
      <c r="B9" s="30" t="s">
        <v>16</v>
      </c>
      <c r="C9" s="30" t="s">
        <v>97</v>
      </c>
      <c r="D9" s="30" t="s">
        <v>88</v>
      </c>
      <c r="E9" s="31" t="s">
        <v>98</v>
      </c>
      <c r="I9" s="29" t="s">
        <v>96</v>
      </c>
      <c r="J9" s="30" t="s">
        <v>16</v>
      </c>
      <c r="K9" s="30" t="s">
        <v>97</v>
      </c>
      <c r="L9" s="30" t="s">
        <v>88</v>
      </c>
      <c r="M9" s="31" t="s">
        <v>98</v>
      </c>
    </row>
    <row r="11" spans="1:16" x14ac:dyDescent="0.25">
      <c r="A11" s="26" t="s">
        <v>95</v>
      </c>
      <c r="B11" s="27"/>
      <c r="C11" s="27"/>
      <c r="D11" s="27"/>
      <c r="E11" s="28"/>
      <c r="G11"/>
      <c r="H11"/>
      <c r="I11" s="26" t="s">
        <v>95</v>
      </c>
      <c r="J11" s="27"/>
      <c r="K11" s="27"/>
      <c r="L11" s="27"/>
      <c r="M11" s="28"/>
    </row>
    <row r="12" spans="1:16" ht="15.75" x14ac:dyDescent="0.25">
      <c r="A12" s="17">
        <f>A54/12</f>
        <v>0</v>
      </c>
      <c r="B12" s="18">
        <f>B54/12</f>
        <v>1425</v>
      </c>
      <c r="C12" s="19">
        <f>C54/12</f>
        <v>0</v>
      </c>
      <c r="D12" s="20">
        <v>0</v>
      </c>
      <c r="E12" s="21">
        <f t="shared" ref="E12:E19" si="0">A12</f>
        <v>0</v>
      </c>
      <c r="F12" s="63" t="str">
        <f>IF(AND($D$6&lt;&gt;" ",'Pay Check Comparision'!$C$46='Filing Status'!$A$4,$D$6&gt;A12,$D$6&lt;B12),C12+(($D$6-E12)*D12)," ")</f>
        <v xml:space="preserve"> </v>
      </c>
      <c r="G12" s="57" t="str">
        <f>IF(AND($E$6&lt;&gt;" ",'Pay Check Comparision'!$C$46='Filing Status'!$A$4,$E$6&gt;A12,$E$6&lt;B12),C12+(($E$6-E12)*D12)," ")</f>
        <v xml:space="preserve"> </v>
      </c>
      <c r="H12" s="60" t="str">
        <f>IF(AND($F$6&lt;&gt;" ",'Pay Check Comparision'!$C$46='Filing Status'!$A$4,$F$6&gt;A12,$F$6&lt;B12),C12+(($F$6-E12)*D12)," ")</f>
        <v xml:space="preserve"> </v>
      </c>
      <c r="I12" s="17">
        <f>I54/12</f>
        <v>0</v>
      </c>
      <c r="J12" s="18">
        <f>J54/12</f>
        <v>1250</v>
      </c>
      <c r="K12" s="19">
        <f>K54/12</f>
        <v>0</v>
      </c>
      <c r="L12" s="20">
        <v>0</v>
      </c>
      <c r="M12" s="21">
        <f>I12</f>
        <v>0</v>
      </c>
      <c r="N12" s="63" t="str">
        <f>IF(AND($L$6&lt;&gt;" ",'Pay Check Comparision'!$C$46='Filing Status'!$A$4,$L$6&gt;I12,$L$6&lt;J12,$L$6&gt;I12,$L$6&lt;J12),K12+(($L$6-M12)*L12)," ")</f>
        <v xml:space="preserve"> </v>
      </c>
      <c r="O12" s="57" t="str">
        <f>IF(AND($M$6&lt;&gt;" ",'Pay Check Comparision'!$C$46='Filing Status'!$A$4,$M$6&gt;I12,$M$6&lt;J12,$M$6&gt;I12,$M$6&lt;J12),K12+(($M$6-M12)*L12)," ")</f>
        <v xml:space="preserve"> </v>
      </c>
      <c r="P12" s="64" t="str">
        <f>IF(AND($N$6&lt;&gt;" ",'Pay Check Comparision'!$C$46='Filing Status'!$A$4,$N$6&gt;I12,$N$6&lt;J12,$N$6&gt;I12,$N$6&lt;J12),K12+(($N$6-M12)*L12)," ")</f>
        <v xml:space="preserve"> </v>
      </c>
    </row>
    <row r="13" spans="1:16" ht="15.75" x14ac:dyDescent="0.25">
      <c r="A13" s="17">
        <f t="shared" ref="A13:C19" si="1">A55/12</f>
        <v>1425</v>
      </c>
      <c r="B13" s="18">
        <f t="shared" si="1"/>
        <v>3412.5</v>
      </c>
      <c r="C13" s="19">
        <f t="shared" si="1"/>
        <v>0</v>
      </c>
      <c r="D13" s="22">
        <v>0.1</v>
      </c>
      <c r="E13" s="21">
        <f t="shared" si="0"/>
        <v>1425</v>
      </c>
      <c r="F13" s="63" t="str">
        <f>IF(AND($D$6&lt;&gt;" ",'Pay Check Comparision'!$C$46='Filing Status'!$A$4,$D$6&gt;A13,$D$6&lt;B13),C13+(($D$6-E13)*D13)," ")</f>
        <v xml:space="preserve"> </v>
      </c>
      <c r="G13" s="57" t="str">
        <f>IF(AND($E$6&lt;&gt;" ",'Pay Check Comparision'!$C$46='Filing Status'!$A$4,$E$6&gt;A13,$E$6&lt;B13),C13+(($E$6-E13)*D13)," ")</f>
        <v xml:space="preserve"> </v>
      </c>
      <c r="H13" s="60" t="str">
        <f>IF(AND($F$6&lt;&gt;" ",'Pay Check Comparision'!$C$46='Filing Status'!$A$4,$F$6&gt;A13,$F$6&lt;B13),C13+(($F$6-E13)*D13)," ")</f>
        <v xml:space="preserve"> </v>
      </c>
      <c r="I13" s="17">
        <f t="shared" ref="I13:K19" si="2">I55/12</f>
        <v>1250</v>
      </c>
      <c r="J13" s="18">
        <f t="shared" si="2"/>
        <v>2243.75</v>
      </c>
      <c r="K13" s="19">
        <f t="shared" si="2"/>
        <v>0</v>
      </c>
      <c r="L13" s="22">
        <v>0.1</v>
      </c>
      <c r="M13" s="21">
        <f t="shared" ref="M13:M19" si="3">I13</f>
        <v>1250</v>
      </c>
      <c r="N13" s="63" t="str">
        <f>IF(AND($L$6&lt;&gt;" ",'Pay Check Comparision'!$C$46='Filing Status'!$A$4,$L$6&gt;I13,$L$6&lt;J13,$L$6&gt;I13,$L$6&lt;J13),K13+(($L$6-M13)*L13)," ")</f>
        <v xml:space="preserve"> </v>
      </c>
      <c r="O13" s="57" t="str">
        <f>IF(AND($M$6&lt;&gt;" ",'Pay Check Comparision'!$C$46='Filing Status'!$A$4,$M$6&gt;I13,$M$6&lt;J13,$M$6&gt;I13,$M$6&lt;J13),K13+(($M$6-M13)*L13)," ")</f>
        <v xml:space="preserve"> </v>
      </c>
      <c r="P13" s="64" t="str">
        <f>IF(AND($N$6&lt;&gt;" ",'Pay Check Comparision'!$C$46='Filing Status'!$A$4,$N$6&gt;I13,$N$6&lt;J13,$N$6&gt;I13,$N$6&lt;J13),K13+(($N$6-M13)*L13)," ")</f>
        <v xml:space="preserve"> </v>
      </c>
    </row>
    <row r="14" spans="1:16" ht="15.75" x14ac:dyDescent="0.25">
      <c r="A14" s="17">
        <f t="shared" si="1"/>
        <v>3412.5</v>
      </c>
      <c r="B14" s="18">
        <f t="shared" si="1"/>
        <v>9504.1666666666661</v>
      </c>
      <c r="C14" s="19">
        <f t="shared" si="1"/>
        <v>198.75</v>
      </c>
      <c r="D14" s="22">
        <v>0.12</v>
      </c>
      <c r="E14" s="21">
        <f t="shared" si="0"/>
        <v>3412.5</v>
      </c>
      <c r="F14" s="63" t="str">
        <f>IF(AND($D$6&lt;&gt;" ",'Pay Check Comparision'!$C$46='Filing Status'!$A$4,$D$6&gt;A14,$D$6&lt;B14),C14+(($D$6-E14)*D14)," ")</f>
        <v xml:space="preserve"> </v>
      </c>
      <c r="G14" s="57" t="str">
        <f>IF(AND($E$6&lt;&gt;" ",'Pay Check Comparision'!$C$46='Filing Status'!$A$4,$E$6&gt;A14,$E$6&lt;B14),C14+(($E$6-E14)*D14)," ")</f>
        <v xml:space="preserve"> </v>
      </c>
      <c r="H14" s="60" t="str">
        <f>IF(AND($F$6&lt;&gt;" ",'Pay Check Comparision'!$C$46='Filing Status'!$A$4,$F$6&gt;A14,$F$6&lt;B14),C14+(($F$6-E14)*D14)," ")</f>
        <v xml:space="preserve"> </v>
      </c>
      <c r="I14" s="17">
        <f t="shared" si="2"/>
        <v>2243.75</v>
      </c>
      <c r="J14" s="18">
        <f t="shared" si="2"/>
        <v>5289.583333333333</v>
      </c>
      <c r="K14" s="19">
        <f t="shared" si="2"/>
        <v>99.375</v>
      </c>
      <c r="L14" s="22">
        <v>0.12</v>
      </c>
      <c r="M14" s="21">
        <f t="shared" si="3"/>
        <v>2243.75</v>
      </c>
      <c r="N14" s="63" t="str">
        <f>IF(AND($L$6&lt;&gt;" ",'Pay Check Comparision'!$C$46='Filing Status'!$A$4,$L$6&gt;I14,$L$6&lt;J14,$L$6&gt;I14,$L$6&lt;J14),K14+(($L$6-M14)*L14)," ")</f>
        <v xml:space="preserve"> </v>
      </c>
      <c r="O14" s="57" t="str">
        <f>IF(AND($M$6&lt;&gt;" ",'Pay Check Comparision'!$C$46='Filing Status'!$A$4,$M$6&gt;I14,$M$6&lt;J14,$M$6&gt;I14,$M$6&lt;J14),K14+(($M$6-M14)*L14)," ")</f>
        <v xml:space="preserve"> </v>
      </c>
      <c r="P14" s="64" t="str">
        <f>IF(AND($N$6&lt;&gt;" ",'Pay Check Comparision'!$C$46='Filing Status'!$A$4,$N$6&gt;I14,$N$6&lt;J14,$N$6&gt;I14,$N$6&lt;J14),K14+(($N$6-M14)*L14)," ")</f>
        <v xml:space="preserve"> </v>
      </c>
    </row>
    <row r="15" spans="1:16" ht="15.75" x14ac:dyDescent="0.25">
      <c r="A15" s="17">
        <f t="shared" si="1"/>
        <v>9504.1666666666661</v>
      </c>
      <c r="B15" s="18">
        <f t="shared" si="1"/>
        <v>18650</v>
      </c>
      <c r="C15" s="19">
        <f t="shared" si="1"/>
        <v>929.75</v>
      </c>
      <c r="D15" s="22">
        <v>0.22</v>
      </c>
      <c r="E15" s="21">
        <f t="shared" si="0"/>
        <v>9504.1666666666661</v>
      </c>
      <c r="F15" s="63" t="str">
        <f>IF(AND($D$6&lt;&gt;" ",'Pay Check Comparision'!$C$46='Filing Status'!$A$4,$D$6&gt;A15,$D$6&lt;B15),C15+(($D$6-E15)*D15)," ")</f>
        <v xml:space="preserve"> </v>
      </c>
      <c r="G15" s="57" t="str">
        <f>IF(AND($E$6&lt;&gt;" ",'Pay Check Comparision'!$C$46='Filing Status'!$A$4,$E$6&gt;A15,$E$6&lt;B15),C15+(($E$6-E15)*D15)," ")</f>
        <v xml:space="preserve"> </v>
      </c>
      <c r="H15" s="60" t="str">
        <f>IF(AND($F$6&lt;&gt;" ",'Pay Check Comparision'!$C$46='Filing Status'!$A$4,$F$6&gt;A15,$F$6&lt;B15),C15+(($F$6-E15)*D15)," ")</f>
        <v xml:space="preserve"> </v>
      </c>
      <c r="I15" s="17">
        <f t="shared" si="2"/>
        <v>5289.583333333333</v>
      </c>
      <c r="J15" s="18">
        <f t="shared" si="2"/>
        <v>9862.5</v>
      </c>
      <c r="K15" s="19">
        <f t="shared" si="2"/>
        <v>464.875</v>
      </c>
      <c r="L15" s="22">
        <v>0.22</v>
      </c>
      <c r="M15" s="21">
        <f t="shared" si="3"/>
        <v>5289.583333333333</v>
      </c>
      <c r="N15" s="63" t="str">
        <f>IF(AND($L$6&lt;&gt;" ",'Pay Check Comparision'!$C$46='Filing Status'!$A$4,$L$6&gt;I15,$L$6&lt;J15,$L$6&gt;I15,$L$6&lt;J15),K15+(($L$6-M15)*L15)," ")</f>
        <v xml:space="preserve"> </v>
      </c>
      <c r="O15" s="57" t="str">
        <f>IF(AND($M$6&lt;&gt;" ",'Pay Check Comparision'!$C$46='Filing Status'!$A$4,$M$6&gt;I15,$M$6&lt;J15,$M$6&gt;I15,$M$6&lt;J15),K15+(($M$6-M15)*L15)," ")</f>
        <v xml:space="preserve"> </v>
      </c>
      <c r="P15" s="64" t="str">
        <f>IF(AND($N$6&lt;&gt;" ",'Pay Check Comparision'!$C$46='Filing Status'!$A$4,$N$6&gt;I15,$N$6&lt;J15,$N$6&gt;I15,$N$6&lt;J15),K15+(($N$6-M15)*L15)," ")</f>
        <v xml:space="preserve"> </v>
      </c>
    </row>
    <row r="16" spans="1:16" ht="15.75" x14ac:dyDescent="0.25">
      <c r="A16" s="17">
        <f t="shared" si="1"/>
        <v>18650</v>
      </c>
      <c r="B16" s="18">
        <f t="shared" si="1"/>
        <v>34308.333333333336</v>
      </c>
      <c r="C16" s="19">
        <f t="shared" si="1"/>
        <v>2941.8333333333335</v>
      </c>
      <c r="D16" s="22">
        <v>0.24</v>
      </c>
      <c r="E16" s="21">
        <f t="shared" si="0"/>
        <v>18650</v>
      </c>
      <c r="F16" s="63" t="str">
        <f>IF(AND($D$6&lt;&gt;" ",'Pay Check Comparision'!$C$46='Filing Status'!$A$4,$D$6&gt;A16,$D$6&lt;B16),C16+(($D$6-E16)*D16)," ")</f>
        <v xml:space="preserve"> </v>
      </c>
      <c r="G16" s="57" t="str">
        <f>IF(AND($E$6&lt;&gt;" ",'Pay Check Comparision'!$C$46='Filing Status'!$A$4,$E$6&gt;A16,$E$6&lt;B16),C16+(($E$6-E16)*D16)," ")</f>
        <v xml:space="preserve"> </v>
      </c>
      <c r="H16" s="60" t="str">
        <f>IF(AND($F$6&lt;&gt;" ",'Pay Check Comparision'!$C$46='Filing Status'!$A$4,$F$6&gt;A16,$F$6&lt;B16),C16+(($F$6-E16)*D16)," ")</f>
        <v xml:space="preserve"> </v>
      </c>
      <c r="I16" s="17">
        <f t="shared" si="2"/>
        <v>9862.5</v>
      </c>
      <c r="J16" s="18">
        <f t="shared" si="2"/>
        <v>17691.666666666668</v>
      </c>
      <c r="K16" s="19">
        <f t="shared" si="2"/>
        <v>1470.9166666666667</v>
      </c>
      <c r="L16" s="22">
        <v>0.24</v>
      </c>
      <c r="M16" s="21">
        <f t="shared" si="3"/>
        <v>9862.5</v>
      </c>
      <c r="N16" s="63" t="str">
        <f>IF(AND($L$6&lt;&gt;" ",'Pay Check Comparision'!$C$46='Filing Status'!$A$4,$L$6&gt;I16,$L$6&lt;J16,$L$6&gt;I16,$L$6&lt;J16),K16+(($L$6-M16)*L16)," ")</f>
        <v xml:space="preserve"> </v>
      </c>
      <c r="O16" s="57" t="str">
        <f>IF(AND($M$6&lt;&gt;" ",'Pay Check Comparision'!$C$46='Filing Status'!$A$4,$M$6&gt;I16,$M$6&lt;J16,$M$6&gt;I16,$M$6&lt;J16),K16+(($M$6-M16)*L16)," ")</f>
        <v xml:space="preserve"> </v>
      </c>
      <c r="P16" s="64" t="str">
        <f>IF(AND($N$6&lt;&gt;" ",'Pay Check Comparision'!$C$46='Filing Status'!$A$4,$N$6&gt;I16,$N$6&lt;J16,$N$6&gt;I16,$N$6&lt;J16),K16+(($N$6-M16)*L16)," ")</f>
        <v xml:space="preserve"> </v>
      </c>
    </row>
    <row r="17" spans="1:16" ht="15.75" x14ac:dyDescent="0.25">
      <c r="A17" s="17">
        <f t="shared" si="1"/>
        <v>34308.333333333336</v>
      </c>
      <c r="B17" s="18">
        <f t="shared" si="1"/>
        <v>43179.166666666664</v>
      </c>
      <c r="C17" s="19">
        <f t="shared" si="1"/>
        <v>6699.833333333333</v>
      </c>
      <c r="D17" s="22">
        <v>0.32</v>
      </c>
      <c r="E17" s="21">
        <f t="shared" si="0"/>
        <v>34308.333333333336</v>
      </c>
      <c r="F17" s="63" t="str">
        <f>IF(AND($D$6&lt;&gt;" ",'Pay Check Comparision'!$C$46='Filing Status'!$A$4,$D$6&gt;A17,$D$6&lt;B17),C17+(($D$6-E17)*D17)," ")</f>
        <v xml:space="preserve"> </v>
      </c>
      <c r="G17" s="57" t="str">
        <f>IF(AND($E$6&lt;&gt;" ",'Pay Check Comparision'!$C$46='Filing Status'!$A$4,$E$6&gt;A17,$E$6&lt;B17),C17+(($E$6-E17)*D17)," ")</f>
        <v xml:space="preserve"> </v>
      </c>
      <c r="H17" s="60" t="str">
        <f>IF(AND($F$6&lt;&gt;" ",'Pay Check Comparision'!$C$46='Filing Status'!$A$4,$F$6&gt;A17,$F$6&lt;B17),C17+(($F$6-E17)*D17)," ")</f>
        <v xml:space="preserve"> </v>
      </c>
      <c r="I17" s="17">
        <f t="shared" si="2"/>
        <v>17691.666666666668</v>
      </c>
      <c r="J17" s="18">
        <f t="shared" si="2"/>
        <v>22127.083333333332</v>
      </c>
      <c r="K17" s="19">
        <f t="shared" si="2"/>
        <v>3349.9166666666665</v>
      </c>
      <c r="L17" s="22">
        <v>0.32</v>
      </c>
      <c r="M17" s="21">
        <f t="shared" si="3"/>
        <v>17691.666666666668</v>
      </c>
      <c r="N17" s="63" t="str">
        <f>IF(AND($L$6&lt;&gt;" ",'Pay Check Comparision'!$C$46='Filing Status'!$A$4,$L$6&gt;I17,$L$6&lt;J17,$L$6&gt;I17,$L$6&lt;J17),K17+(($L$6-M17)*L17)," ")</f>
        <v xml:space="preserve"> </v>
      </c>
      <c r="O17" s="57" t="str">
        <f>IF(AND($M$6&lt;&gt;" ",'Pay Check Comparision'!$C$46='Filing Status'!$A$4,$M$6&gt;I17,$M$6&lt;J17,$M$6&gt;I17,$M$6&lt;J17),K17+(($M$6-M17)*L17)," ")</f>
        <v xml:space="preserve"> </v>
      </c>
      <c r="P17" s="64" t="str">
        <f>IF(AND($N$6&lt;&gt;" ",'Pay Check Comparision'!$C$46='Filing Status'!$A$4,$N$6&gt;I17,$N$6&lt;J17,$N$6&gt;I17,$N$6&lt;J17),K17+(($N$6-M17)*L17)," ")</f>
        <v xml:space="preserve"> </v>
      </c>
    </row>
    <row r="18" spans="1:16" ht="15.75" x14ac:dyDescent="0.25">
      <c r="A18" s="17">
        <f t="shared" si="1"/>
        <v>43179.166666666664</v>
      </c>
      <c r="B18" s="18">
        <f t="shared" si="1"/>
        <v>64058.333333333336</v>
      </c>
      <c r="C18" s="19">
        <f t="shared" si="1"/>
        <v>9538.5</v>
      </c>
      <c r="D18" s="22">
        <v>0.35</v>
      </c>
      <c r="E18" s="21">
        <f t="shared" si="0"/>
        <v>43179.166666666664</v>
      </c>
      <c r="F18" s="63" t="str">
        <f>IF(AND($D$6&lt;&gt;" ",'Pay Check Comparision'!$C$46='Filing Status'!$A$4,$D$6&gt;A18,$D$6&lt;B18),C18+(($D$6-E18)*D18)," ")</f>
        <v xml:space="preserve"> </v>
      </c>
      <c r="G18" s="57" t="str">
        <f>IF(AND($E$6&lt;&gt;" ",'Pay Check Comparision'!$C$46='Filing Status'!$A$4,$E$6&gt;A18,$E$6&lt;B18),C18+(($E$6-E18)*D18)," ")</f>
        <v xml:space="preserve"> </v>
      </c>
      <c r="H18" s="60" t="str">
        <f>IF(AND($F$6&lt;&gt;" ",'Pay Check Comparision'!$C$46='Filing Status'!$A$4,$F$6&gt;A18,$F$6&lt;B18),C18+(($F$6-E18)*D18)," ")</f>
        <v xml:space="preserve"> </v>
      </c>
      <c r="I18" s="17">
        <f t="shared" si="2"/>
        <v>22127.083333333332</v>
      </c>
      <c r="J18" s="18">
        <f t="shared" si="2"/>
        <v>32566.666666666668</v>
      </c>
      <c r="K18" s="19">
        <f t="shared" si="2"/>
        <v>4769.25</v>
      </c>
      <c r="L18" s="22">
        <v>0.35</v>
      </c>
      <c r="M18" s="21">
        <f t="shared" si="3"/>
        <v>22127.083333333332</v>
      </c>
      <c r="N18" s="63" t="str">
        <f>IF(AND($L$6&lt;&gt;" ",'Pay Check Comparision'!$C$46='Filing Status'!$A$4,$L$6&gt;I18,$L$6&lt;J18,$L$6&gt;I18,$L$6&lt;J18),K18+(($L$6-M18)*L18)," ")</f>
        <v xml:space="preserve"> </v>
      </c>
      <c r="O18" s="57" t="str">
        <f>IF(AND($M$6&lt;&gt;" ",'Pay Check Comparision'!$C$46='Filing Status'!$A$4,$M$6&gt;I18,$M$6&lt;J18,$M$6&gt;I18,$M$6&lt;J18),K18+(($M$6-M18)*L18)," ")</f>
        <v xml:space="preserve"> </v>
      </c>
      <c r="P18" s="64" t="str">
        <f>IF(AND($N$6&lt;&gt;" ",'Pay Check Comparision'!$C$46='Filing Status'!$A$4,$N$6&gt;I18,$N$6&lt;J18,$N$6&gt;I18,$N$6&lt;J18),K18+(($N$6-M18)*L18)," ")</f>
        <v xml:space="preserve"> </v>
      </c>
    </row>
    <row r="19" spans="1:16" ht="15.75" x14ac:dyDescent="0.25">
      <c r="A19" s="17">
        <f t="shared" si="1"/>
        <v>64058.333333333336</v>
      </c>
      <c r="B19" s="18"/>
      <c r="C19" s="19">
        <f t="shared" ref="C19" si="4">C61/12</f>
        <v>16846.208333333332</v>
      </c>
      <c r="D19" s="22">
        <v>0.37</v>
      </c>
      <c r="E19" s="21">
        <f t="shared" si="0"/>
        <v>64058.333333333336</v>
      </c>
      <c r="F19" s="63" t="str">
        <f>IF(AND($D$6&lt;&gt;" ",'Pay Check Comparision'!$C$46='Filing Status'!$A$4,$D$6&gt;A19,$D$6&lt;B19),C19+(($D$6-E19)*D19)," ")</f>
        <v xml:space="preserve"> </v>
      </c>
      <c r="G19" s="57" t="str">
        <f>IF(AND($E$6&lt;&gt;" ",'Pay Check Comparision'!$C$46='Filing Status'!$A$4,$E$6&gt;A19,$E$6&lt;B19),C19+(($E$6-E19)*D19)," ")</f>
        <v xml:space="preserve"> </v>
      </c>
      <c r="H19" s="60" t="str">
        <f>IF(AND($F$6&lt;&gt;" ",'Pay Check Comparision'!$C$46='Filing Status'!$A$4,$F$6&gt;A19,$F$6&lt;B19),C19+(($F$6-E19)*D19)," ")</f>
        <v xml:space="preserve"> </v>
      </c>
      <c r="I19" s="17">
        <f t="shared" si="2"/>
        <v>32566.666666666668</v>
      </c>
      <c r="J19" s="18"/>
      <c r="K19" s="19">
        <f t="shared" ref="K19" si="5">K61/12</f>
        <v>8423.1041666666661</v>
      </c>
      <c r="L19" s="22">
        <v>0.37</v>
      </c>
      <c r="M19" s="21">
        <f t="shared" si="3"/>
        <v>32566.666666666668</v>
      </c>
      <c r="N19" s="63" t="str">
        <f>IF(AND($L$6&lt;&gt;" ",'Pay Check Comparision'!$C$46='Filing Status'!$A$4,$L$6&gt;I19,$L$6&lt;J19,$L$6&gt;I19,$L$6&lt;J19),K19+(($L$6-M19)*L19)," ")</f>
        <v xml:space="preserve"> </v>
      </c>
      <c r="O19" s="57" t="str">
        <f>IF(AND($M$6&lt;&gt;" ",'Pay Check Comparision'!$C$46='Filing Status'!$A$4,$M$6&gt;I19,$M$6&lt;J19,$M$6&gt;I19,$M$6&lt;J19),K19+(($M$6-M19)*L19)," ")</f>
        <v xml:space="preserve"> </v>
      </c>
      <c r="P19" s="64" t="str">
        <f>IF(AND($N$6&lt;&gt;" ",'Pay Check Comparision'!$C$46='Filing Status'!$A$4,$N$6&gt;I19,$N$6&lt;J19,$N$6&gt;I19,$N$6&lt;J19),K19+(($N$6-M19)*L19)," ")</f>
        <v xml:space="preserve"> </v>
      </c>
    </row>
    <row r="20" spans="1:16" x14ac:dyDescent="0.25">
      <c r="G20"/>
      <c r="H20" t="str">
        <f>IF(AND($F$6&lt;&gt;" ",'Pay Check Comparision'!$C$46='Filing Status'!$A$4,$F$6&gt;A20,$F$6&lt;B20),C20+(($F$6-E20)*D20)," ")</f>
        <v xml:space="preserve"> </v>
      </c>
      <c r="K20" s="19"/>
    </row>
    <row r="21" spans="1:16" x14ac:dyDescent="0.25">
      <c r="A21" s="26" t="s">
        <v>94</v>
      </c>
      <c r="B21" s="27"/>
      <c r="C21" s="27"/>
      <c r="D21" s="27"/>
      <c r="E21" s="28"/>
      <c r="G21"/>
      <c r="H21" t="str">
        <f>IF(AND($F$6&lt;&gt;" ",'Pay Check Comparision'!$C$46='Filing Status'!$A$4,$F$6&gt;A21,$F$6&lt;B21),C21+(($F$6-E21)*D21)," ")</f>
        <v xml:space="preserve"> </v>
      </c>
      <c r="I21" s="26" t="s">
        <v>94</v>
      </c>
      <c r="J21" s="27"/>
      <c r="K21" s="27"/>
      <c r="L21" s="27"/>
      <c r="M21" s="28"/>
    </row>
    <row r="22" spans="1:16" x14ac:dyDescent="0.25">
      <c r="A22" s="17">
        <f>A64/12</f>
        <v>0</v>
      </c>
      <c r="B22" s="18">
        <f>B64/12</f>
        <v>533.33333333333337</v>
      </c>
      <c r="C22" s="19">
        <f>C64/12</f>
        <v>0</v>
      </c>
      <c r="D22" s="20">
        <v>0</v>
      </c>
      <c r="E22" s="21">
        <f>A22</f>
        <v>0</v>
      </c>
      <c r="F22" s="63" t="str">
        <f>IF(((OR('Pay Check Comparision'!$C$46='Filing Status'!$A$5,'Pay Check Comparision'!$C$46='Filing Status'!$A$3)*AND($D$6&lt;&gt;" ",$D$6&gt;A22,$D$6&lt;B22))),C22+(($D$6-E22)*D22)," ")</f>
        <v xml:space="preserve"> </v>
      </c>
      <c r="G22" s="57" t="str">
        <f>IF(((OR('Pay Check Comparision'!$C$46='Filing Status'!$A$5,'Pay Check Comparision'!$C$46='Filing Status'!$A$3)*AND($E$6&lt;&gt;" ",$E$6&gt;A22,$E$6&lt;B22))),C22+(($E$6-E22)*D22)," ")</f>
        <v xml:space="preserve"> </v>
      </c>
      <c r="H22" s="60" t="str">
        <f>IF(((OR('Pay Check Comparision'!$C$46='Filing Status'!$A$5,'Pay Check Comparision'!$C$46='Filing Status'!$A$3)*AND($F$6&lt;&gt;" ",$F$6&gt;A22,$F$6&lt;B22))),C22+(($F$6-E22)*D22)," ")</f>
        <v xml:space="preserve"> </v>
      </c>
      <c r="I22" s="17">
        <f>I64/12</f>
        <v>0</v>
      </c>
      <c r="J22" s="18">
        <f>J64/12</f>
        <v>625</v>
      </c>
      <c r="K22" s="19">
        <f>K64/12</f>
        <v>0</v>
      </c>
      <c r="L22" s="20">
        <v>0</v>
      </c>
      <c r="M22" s="21">
        <f>I22</f>
        <v>0</v>
      </c>
      <c r="N22" s="63" t="str">
        <f>IF(((OR('Pay Check Comparision'!$C$46='Filing Status'!$A$5,'Pay Check Comparision'!$C$46='Filing Status'!$A$3)*AND($L$6&lt;&gt;" ",$L$6&gt;I22,$L$6&lt;J22))),K22+(($L$6-M22)*L22)," ")</f>
        <v xml:space="preserve"> </v>
      </c>
      <c r="O22" s="57" t="str">
        <f>IF(((OR('Pay Check Comparision'!$C$46='Filing Status'!$A$5,'Pay Check Comparision'!$C$46='Filing Status'!$A$3)*AND($M$6&lt;&gt;" ",$M$6&gt;I22,$M$6&lt;J22))),K22+(($M$6-M22)*L22)," ")</f>
        <v xml:space="preserve"> </v>
      </c>
      <c r="P22" s="60" t="str">
        <f>IF(((OR('Pay Check Comparision'!$C$46='Filing Status'!$A$5,'Pay Check Comparision'!$C$46='Filing Status'!$A$3)*AND($N$6&lt;&gt;" ",$N$6&gt;I22,$N$6&lt;J22))),K22+(($N$6-M22)*L22)," ")</f>
        <v xml:space="preserve"> </v>
      </c>
    </row>
    <row r="23" spans="1:16" x14ac:dyDescent="0.25">
      <c r="A23" s="17">
        <f t="shared" ref="A23:C29" si="6">A65/12</f>
        <v>533.33333333333337</v>
      </c>
      <c r="B23" s="18">
        <f t="shared" si="6"/>
        <v>1527.0833333333333</v>
      </c>
      <c r="C23" s="19">
        <f t="shared" si="6"/>
        <v>0</v>
      </c>
      <c r="D23" s="22">
        <v>0.1</v>
      </c>
      <c r="E23" s="21">
        <f t="shared" ref="E23:E29" si="7">A23</f>
        <v>533.33333333333337</v>
      </c>
      <c r="F23" s="63" t="str">
        <f>IF(((OR('Pay Check Comparision'!$C$46='Filing Status'!$A$5,'Pay Check Comparision'!$C$46='Filing Status'!$A$3)*AND($D$6&lt;&gt;" ",$D$6&gt;A23,$D$6&lt;B23))),C23+(($D$6-E23)*D23)," ")</f>
        <v xml:space="preserve"> </v>
      </c>
      <c r="G23" s="57" t="str">
        <f>IF(((OR('Pay Check Comparision'!$C$46='Filing Status'!$A$5,'Pay Check Comparision'!$C$46='Filing Status'!$A$3)*AND($E$6&lt;&gt;" ",$E$6&gt;A23,$E$6&lt;B23))),C23+(($E$6-E23)*D23)," ")</f>
        <v xml:space="preserve"> </v>
      </c>
      <c r="H23" s="60" t="str">
        <f>IF(((OR('Pay Check Comparision'!$C$46='Filing Status'!$A$5,'Pay Check Comparision'!$C$46='Filing Status'!$A$3)*AND($F$6&lt;&gt;" ",$F$6&gt;A23,$F$6&lt;B23))),C23+(($F$6-E23)*D23)," ")</f>
        <v xml:space="preserve"> </v>
      </c>
      <c r="I23" s="17">
        <f t="shared" ref="I23:K29" si="8">I65/12</f>
        <v>625</v>
      </c>
      <c r="J23" s="18">
        <f t="shared" si="8"/>
        <v>1121.9166666666667</v>
      </c>
      <c r="K23" s="19">
        <f t="shared" si="8"/>
        <v>0</v>
      </c>
      <c r="L23" s="22">
        <v>0.1</v>
      </c>
      <c r="M23" s="21">
        <f t="shared" ref="M23:M29" si="9">I23</f>
        <v>625</v>
      </c>
      <c r="N23" s="63" t="str">
        <f>IF(((OR('Pay Check Comparision'!$C$46='Filing Status'!$A$5,'Pay Check Comparision'!$C$46='Filing Status'!$A$3)*AND($L$6&lt;&gt;" ",$L$6&gt;I23,$L$6&lt;J23))),K23+(($L$6-M23)*L23)," ")</f>
        <v xml:space="preserve"> </v>
      </c>
      <c r="O23" s="57" t="str">
        <f>IF(((OR('Pay Check Comparision'!$C$46='Filing Status'!$A$5,'Pay Check Comparision'!$C$46='Filing Status'!$A$3)*AND($M$6&lt;&gt;" ",$M$6&gt;I23,$M$6&lt;J23))),K23+(($M$6-M23)*L23)," ")</f>
        <v xml:space="preserve"> </v>
      </c>
      <c r="P23" s="60" t="str">
        <f>IF(((OR('Pay Check Comparision'!$C$46='Filing Status'!$A$5,'Pay Check Comparision'!$C$46='Filing Status'!$A$3)*AND($N$6&lt;&gt;" ",$N$6&gt;I23,$N$6&lt;J23))),K23+(($N$6-M23)*L23)," ")</f>
        <v xml:space="preserve"> </v>
      </c>
    </row>
    <row r="24" spans="1:16" x14ac:dyDescent="0.25">
      <c r="A24" s="17">
        <f t="shared" si="6"/>
        <v>1527.0833333333333</v>
      </c>
      <c r="B24" s="18">
        <f t="shared" si="6"/>
        <v>4572.916666666667</v>
      </c>
      <c r="C24" s="19">
        <f t="shared" si="6"/>
        <v>99.375</v>
      </c>
      <c r="D24" s="22">
        <v>0.12</v>
      </c>
      <c r="E24" s="21">
        <f t="shared" si="7"/>
        <v>1527.0833333333333</v>
      </c>
      <c r="F24" s="63" t="str">
        <f>IF(((OR('Pay Check Comparision'!$C$46='Filing Status'!$A$5,'Pay Check Comparision'!$C$46='Filing Status'!$A$3)*AND($D$6&lt;&gt;" ",$D$6&gt;A24,$D$6&lt;B24))),C24+(($D$6-E24)*D24)," ")</f>
        <v xml:space="preserve"> </v>
      </c>
      <c r="G24" s="57" t="str">
        <f>IF(((OR('Pay Check Comparision'!$C$46='Filing Status'!$A$5,'Pay Check Comparision'!$C$46='Filing Status'!$A$3)*AND($E$6&lt;&gt;" ",$E$6&gt;A24,$E$6&lt;B24))),C24+(($E$6-E24)*D24)," ")</f>
        <v xml:space="preserve"> </v>
      </c>
      <c r="H24" s="60" t="str">
        <f>IF(((OR('Pay Check Comparision'!$C$46='Filing Status'!$A$5,'Pay Check Comparision'!$C$46='Filing Status'!$A$3)*AND($F$6&lt;&gt;" ",$F$6&gt;A24,$F$6&lt;B24))),C24+(($F$6-E24)*D24)," ")</f>
        <v xml:space="preserve"> </v>
      </c>
      <c r="I24" s="17">
        <f t="shared" si="8"/>
        <v>1121.9166666666667</v>
      </c>
      <c r="J24" s="18">
        <f t="shared" si="8"/>
        <v>2644.8333333333335</v>
      </c>
      <c r="K24" s="19">
        <f t="shared" si="8"/>
        <v>49.6875</v>
      </c>
      <c r="L24" s="22">
        <v>0.12</v>
      </c>
      <c r="M24" s="21">
        <f t="shared" si="9"/>
        <v>1121.9166666666667</v>
      </c>
      <c r="N24" s="63" t="str">
        <f>IF(((OR('Pay Check Comparision'!$C$46='Filing Status'!$A$5,'Pay Check Comparision'!$C$46='Filing Status'!$A$3)*AND($L$6&lt;&gt;" ",$L$6&gt;I24,$L$6&lt;J24))),K24+(($L$6-M24)*L24)," ")</f>
        <v xml:space="preserve"> </v>
      </c>
      <c r="O24" s="57" t="str">
        <f>IF(((OR('Pay Check Comparision'!$C$46='Filing Status'!$A$5,'Pay Check Comparision'!$C$46='Filing Status'!$A$3)*AND($M$6&lt;&gt;" ",$M$6&gt;I24,$M$6&lt;J24))),K24+(($M$6-M24)*L24)," ")</f>
        <v xml:space="preserve"> </v>
      </c>
      <c r="P24" s="60" t="str">
        <f>IF(((OR('Pay Check Comparision'!$C$46='Filing Status'!$A$5,'Pay Check Comparision'!$C$46='Filing Status'!$A$3)*AND($N$6&lt;&gt;" ",$N$6&gt;I24,$N$6&lt;J24))),K24+(($N$6-M24)*L24)," ")</f>
        <v xml:space="preserve"> </v>
      </c>
    </row>
    <row r="25" spans="1:16" x14ac:dyDescent="0.25">
      <c r="A25" s="17">
        <f t="shared" si="6"/>
        <v>4572.916666666667</v>
      </c>
      <c r="B25" s="18">
        <f t="shared" si="6"/>
        <v>9145.8333333333339</v>
      </c>
      <c r="C25" s="19">
        <f t="shared" si="6"/>
        <v>464.875</v>
      </c>
      <c r="D25" s="22">
        <v>0.22</v>
      </c>
      <c r="E25" s="21">
        <f t="shared" si="7"/>
        <v>4572.916666666667</v>
      </c>
      <c r="F25" s="63" t="str">
        <f>IF(((OR('Pay Check Comparision'!$C$46='Filing Status'!$A$5,'Pay Check Comparision'!$C$46='Filing Status'!$A$3)*AND($D$6&lt;&gt;" ",$D$6&gt;A25,$D$6&lt;B25))),C25+(($D$6-E25)*D25)," ")</f>
        <v xml:space="preserve"> </v>
      </c>
      <c r="G25" s="57" t="str">
        <f>IF(((OR('Pay Check Comparision'!$C$46='Filing Status'!$A$5,'Pay Check Comparision'!$C$46='Filing Status'!$A$3)*AND($E$6&lt;&gt;" ",$E$6&gt;A25,$E$6&lt;B25))),C25+(($E$6-E25)*D25)," ")</f>
        <v xml:space="preserve"> </v>
      </c>
      <c r="H25" s="60" t="str">
        <f>IF(((OR('Pay Check Comparision'!$C$46='Filing Status'!$A$5,'Pay Check Comparision'!$C$46='Filing Status'!$A$3)*AND($F$6&lt;&gt;" ",$F$6&gt;A25,$F$6&lt;B25))),C25+(($F$6-E25)*D25)," ")</f>
        <v xml:space="preserve"> </v>
      </c>
      <c r="I25" s="17">
        <f t="shared" si="8"/>
        <v>2644.8333333333335</v>
      </c>
      <c r="J25" s="18">
        <f t="shared" si="8"/>
        <v>4931.25</v>
      </c>
      <c r="K25" s="19">
        <f t="shared" si="8"/>
        <v>232.4375</v>
      </c>
      <c r="L25" s="22">
        <v>0.22</v>
      </c>
      <c r="M25" s="21">
        <f t="shared" si="9"/>
        <v>2644.8333333333335</v>
      </c>
      <c r="N25" s="63" t="str">
        <f>IF(((OR('Pay Check Comparision'!$C$46='Filing Status'!$A$5,'Pay Check Comparision'!$C$46='Filing Status'!$A$3)*AND($L$6&lt;&gt;" ",$L$6&gt;I25,$L$6&lt;J25))),K25+(($L$6-M25)*L25)," ")</f>
        <v xml:space="preserve"> </v>
      </c>
      <c r="O25" s="57" t="str">
        <f>IF(((OR('Pay Check Comparision'!$C$46='Filing Status'!$A$5,'Pay Check Comparision'!$C$46='Filing Status'!$A$3)*AND($M$6&lt;&gt;" ",$M$6&gt;I25,$M$6&lt;J25))),K25+(($M$6-M25)*L25)," ")</f>
        <v xml:space="preserve"> </v>
      </c>
      <c r="P25" s="60" t="str">
        <f>IF(((OR('Pay Check Comparision'!$C$46='Filing Status'!$A$5,'Pay Check Comparision'!$C$46='Filing Status'!$A$3)*AND($N$6&lt;&gt;" ",$N$6&gt;I25,$N$6&lt;J25))),K25+(($N$6-M25)*L25)," ")</f>
        <v xml:space="preserve"> </v>
      </c>
    </row>
    <row r="26" spans="1:16" x14ac:dyDescent="0.25">
      <c r="A26" s="17">
        <f t="shared" si="6"/>
        <v>9145.8333333333339</v>
      </c>
      <c r="B26" s="18">
        <f t="shared" si="6"/>
        <v>16975</v>
      </c>
      <c r="C26" s="19">
        <f t="shared" si="6"/>
        <v>1470.9166666666667</v>
      </c>
      <c r="D26" s="22">
        <v>0.24</v>
      </c>
      <c r="E26" s="21">
        <f t="shared" si="7"/>
        <v>9145.8333333333339</v>
      </c>
      <c r="F26" s="63" t="str">
        <f>IF(((OR('Pay Check Comparision'!$C$46='Filing Status'!$A$5,'Pay Check Comparision'!$C$46='Filing Status'!$A$3)*AND($D$6&lt;&gt;" ",$D$6&gt;A26,$D$6&lt;B26))),C26+(($D$6-E26)*D26)," ")</f>
        <v xml:space="preserve"> </v>
      </c>
      <c r="G26" s="57" t="str">
        <f>IF(((OR('Pay Check Comparision'!$C$46='Filing Status'!$A$5,'Pay Check Comparision'!$C$46='Filing Status'!$A$3)*AND($E$6&lt;&gt;" ",$E$6&gt;A26,$E$6&lt;B26))),C26+(($E$6-E26)*D26)," ")</f>
        <v xml:space="preserve"> </v>
      </c>
      <c r="H26" s="60" t="str">
        <f>IF(((OR('Pay Check Comparision'!$C$46='Filing Status'!$A$5,'Pay Check Comparision'!$C$46='Filing Status'!$A$3)*AND($F$6&lt;&gt;" ",$F$6&gt;A26,$F$6&lt;B26))),C26+(($F$6-E26)*D26)," ")</f>
        <v xml:space="preserve"> </v>
      </c>
      <c r="I26" s="17">
        <f t="shared" si="8"/>
        <v>4931.25</v>
      </c>
      <c r="J26" s="18">
        <f t="shared" si="8"/>
        <v>8845.8333333333339</v>
      </c>
      <c r="K26" s="19">
        <f t="shared" si="8"/>
        <v>735.45833333333337</v>
      </c>
      <c r="L26" s="22">
        <v>0.24</v>
      </c>
      <c r="M26" s="21">
        <f t="shared" si="9"/>
        <v>4931.25</v>
      </c>
      <c r="N26" s="63" t="str">
        <f>IF(((OR('Pay Check Comparision'!$C$46='Filing Status'!$A$5,'Pay Check Comparision'!$C$46='Filing Status'!$A$3)*AND($L$6&lt;&gt;" ",$L$6&gt;I26,$L$6&lt;J26))),K26+(($L$6-M26)*L26)," ")</f>
        <v xml:space="preserve"> </v>
      </c>
      <c r="O26" s="57" t="str">
        <f>IF(((OR('Pay Check Comparision'!$C$46='Filing Status'!$A$5,'Pay Check Comparision'!$C$46='Filing Status'!$A$3)*AND($M$6&lt;&gt;" ",$M$6&gt;I26,$M$6&lt;J26))),K26+(($M$6-M26)*L26)," ")</f>
        <v xml:space="preserve"> </v>
      </c>
      <c r="P26" s="60" t="str">
        <f>IF(((OR('Pay Check Comparision'!$C$46='Filing Status'!$A$5,'Pay Check Comparision'!$C$46='Filing Status'!$A$3)*AND($N$6&lt;&gt;" ",$N$6&gt;I26,$N$6&lt;J26))),K26+(($N$6-M26)*L26)," ")</f>
        <v xml:space="preserve"> </v>
      </c>
    </row>
    <row r="27" spans="1:16" x14ac:dyDescent="0.25">
      <c r="A27" s="17">
        <f t="shared" si="6"/>
        <v>16975</v>
      </c>
      <c r="B27" s="18">
        <f t="shared" si="6"/>
        <v>21410.416666666668</v>
      </c>
      <c r="C27" s="19">
        <f t="shared" si="6"/>
        <v>3349.9166666666665</v>
      </c>
      <c r="D27" s="22">
        <v>0.32</v>
      </c>
      <c r="E27" s="21">
        <f t="shared" si="7"/>
        <v>16975</v>
      </c>
      <c r="F27" s="63" t="str">
        <f>IF(((OR('Pay Check Comparision'!$C$46='Filing Status'!$A$5,'Pay Check Comparision'!$C$46='Filing Status'!$A$3)*AND($D$6&lt;&gt;" ",$D$6&gt;A27,$D$6&lt;B27))),C27+(($D$6-E27)*D27)," ")</f>
        <v xml:space="preserve"> </v>
      </c>
      <c r="G27" s="57" t="str">
        <f>IF(((OR('Pay Check Comparision'!$C$46='Filing Status'!$A$5,'Pay Check Comparision'!$C$46='Filing Status'!$A$3)*AND($E$6&lt;&gt;" ",$E$6&gt;A27,$E$6&lt;B27))),C27+(($E$6-E27)*D27)," ")</f>
        <v xml:space="preserve"> </v>
      </c>
      <c r="H27" s="60" t="str">
        <f>IF(((OR('Pay Check Comparision'!$C$46='Filing Status'!$A$5,'Pay Check Comparision'!$C$46='Filing Status'!$A$3)*AND($F$6&lt;&gt;" ",$F$6&gt;A27,$F$6&lt;B27))),C27+(($F$6-E27)*D27)," ")</f>
        <v xml:space="preserve"> </v>
      </c>
      <c r="I27" s="17">
        <f t="shared" si="8"/>
        <v>8845.8333333333339</v>
      </c>
      <c r="J27" s="18">
        <f t="shared" si="8"/>
        <v>11063.583333333334</v>
      </c>
      <c r="K27" s="19">
        <f t="shared" si="8"/>
        <v>1674.9583333333333</v>
      </c>
      <c r="L27" s="22">
        <v>0.32</v>
      </c>
      <c r="M27" s="21">
        <f t="shared" si="9"/>
        <v>8845.8333333333339</v>
      </c>
      <c r="N27" s="63" t="str">
        <f>IF(((OR('Pay Check Comparision'!$C$46='Filing Status'!$A$5,'Pay Check Comparision'!$C$46='Filing Status'!$A$3)*AND($L$6&lt;&gt;" ",$L$6&gt;I27,$L$6&lt;J27))),K27+(($L$6-M27)*L27)," ")</f>
        <v xml:space="preserve"> </v>
      </c>
      <c r="O27" s="57" t="str">
        <f>IF(((OR('Pay Check Comparision'!$C$46='Filing Status'!$A$5,'Pay Check Comparision'!$C$46='Filing Status'!$A$3)*AND($M$6&lt;&gt;" ",$M$6&gt;I27,$M$6&lt;J27))),K27+(($M$6-M27)*L27)," ")</f>
        <v xml:space="preserve"> </v>
      </c>
      <c r="P27" s="60" t="str">
        <f>IF(((OR('Pay Check Comparision'!$C$46='Filing Status'!$A$5,'Pay Check Comparision'!$C$46='Filing Status'!$A$3)*AND($N$6&lt;&gt;" ",$N$6&gt;I27,$N$6&lt;J27))),K27+(($N$6-M27)*L27)," ")</f>
        <v xml:space="preserve"> </v>
      </c>
    </row>
    <row r="28" spans="1:16" x14ac:dyDescent="0.25">
      <c r="A28" s="17">
        <f t="shared" si="6"/>
        <v>21410.416666666668</v>
      </c>
      <c r="B28" s="18">
        <f t="shared" si="6"/>
        <v>52729.166666666664</v>
      </c>
      <c r="C28" s="19">
        <f t="shared" si="6"/>
        <v>4769.25</v>
      </c>
      <c r="D28" s="22">
        <v>0.35</v>
      </c>
      <c r="E28" s="21">
        <f t="shared" si="7"/>
        <v>21410.416666666668</v>
      </c>
      <c r="F28" s="63" t="str">
        <f>IF(((OR('Pay Check Comparision'!$C$46='Filing Status'!$A$5,'Pay Check Comparision'!$C$46='Filing Status'!$A$3)*AND($D$6&lt;&gt;" ",$D$6&gt;A28,$D$6&lt;B28))),C28+(($D$6-E28)*D28)," ")</f>
        <v xml:space="preserve"> </v>
      </c>
      <c r="G28" s="57" t="str">
        <f>IF(((OR('Pay Check Comparision'!$C$46='Filing Status'!$A$5,'Pay Check Comparision'!$C$46='Filing Status'!$A$3)*AND($E$6&lt;&gt;" ",$E$6&gt;A28,$E$6&lt;B28))),C28+(($E$6-E28)*D28)," ")</f>
        <v xml:space="preserve"> </v>
      </c>
      <c r="H28" s="60" t="str">
        <f>IF(((OR('Pay Check Comparision'!$C$46='Filing Status'!$A$5,'Pay Check Comparision'!$C$46='Filing Status'!$A$3)*AND($F$6&lt;&gt;" ",$F$6&gt;A28,$F$6&lt;B28))),C28+(($F$6-E28)*D28)," ")</f>
        <v xml:space="preserve"> </v>
      </c>
      <c r="I28" s="17">
        <f t="shared" si="8"/>
        <v>11063.583333333334</v>
      </c>
      <c r="J28" s="18">
        <f t="shared" si="8"/>
        <v>26722.916666666668</v>
      </c>
      <c r="K28" s="19">
        <f t="shared" si="8"/>
        <v>2384.625</v>
      </c>
      <c r="L28" s="22">
        <v>0.35</v>
      </c>
      <c r="M28" s="21">
        <f t="shared" si="9"/>
        <v>11063.583333333334</v>
      </c>
      <c r="N28" s="63" t="str">
        <f>IF(((OR('Pay Check Comparision'!$C$46='Filing Status'!$A$5,'Pay Check Comparision'!$C$46='Filing Status'!$A$3)*AND($L$6&lt;&gt;" ",$L$6&gt;I28,$L$6&lt;J28))),K28+(($L$6-M28)*L28)," ")</f>
        <v xml:space="preserve"> </v>
      </c>
      <c r="O28" s="57" t="str">
        <f>IF(((OR('Pay Check Comparision'!$C$46='Filing Status'!$A$5,'Pay Check Comparision'!$C$46='Filing Status'!$A$3)*AND($M$6&lt;&gt;" ",$M$6&gt;I28,$M$6&lt;J28))),K28+(($M$6-M28)*L28)," ")</f>
        <v xml:space="preserve"> </v>
      </c>
      <c r="P28" s="60" t="str">
        <f>IF(((OR('Pay Check Comparision'!$C$46='Filing Status'!$A$5,'Pay Check Comparision'!$C$46='Filing Status'!$A$3)*AND($N$6&lt;&gt;" ",$N$6&gt;I28,$N$6&lt;J28))),K28+(($N$6-M28)*L28)," ")</f>
        <v xml:space="preserve"> </v>
      </c>
    </row>
    <row r="29" spans="1:16" x14ac:dyDescent="0.25">
      <c r="A29" s="17">
        <f t="shared" si="6"/>
        <v>52729.166666666664</v>
      </c>
      <c r="B29" s="18"/>
      <c r="C29" s="19">
        <f t="shared" ref="C29" si="10">C71/12</f>
        <v>15730.8125</v>
      </c>
      <c r="D29" s="22">
        <v>0.37</v>
      </c>
      <c r="E29" s="21">
        <f t="shared" si="7"/>
        <v>52729.166666666664</v>
      </c>
      <c r="F29" s="63" t="str">
        <f>IF(((OR('Pay Check Comparision'!$C$46='Filing Status'!$A$5,'Pay Check Comparision'!$C$46='Filing Status'!$A$3)*AND($D$6&lt;&gt;" ",$D$6&gt;A29,$D$6&lt;B29))),C29+(($D$6-E29)*D29)," ")</f>
        <v xml:space="preserve"> </v>
      </c>
      <c r="G29" s="57" t="str">
        <f>IF(((OR('Pay Check Comparision'!$C$46='Filing Status'!$A$5,'Pay Check Comparision'!$C$46='Filing Status'!$A$3)*AND($E$6&lt;&gt;" ",$E$6&gt;A29,$E$6&lt;B29))),C29+(($E$6-E29)*D29)," ")</f>
        <v xml:space="preserve"> </v>
      </c>
      <c r="H29" s="60" t="str">
        <f>IF(((OR('Pay Check Comparision'!$C$46='Filing Status'!$A$5,'Pay Check Comparision'!$C$46='Filing Status'!$A$3)*AND($F$6&lt;&gt;" ",$F$6&gt;A29,$F$6&lt;B29))),C29+(($F$6-E29)*D29)," ")</f>
        <v xml:space="preserve"> </v>
      </c>
      <c r="I29" s="17">
        <f t="shared" si="8"/>
        <v>26722.916666666668</v>
      </c>
      <c r="J29" s="18"/>
      <c r="K29" s="19">
        <f t="shared" ref="K29" si="11">K71/12</f>
        <v>7865.4066666666668</v>
      </c>
      <c r="L29" s="22">
        <v>0.37</v>
      </c>
      <c r="M29" s="21">
        <f t="shared" si="9"/>
        <v>26722.916666666668</v>
      </c>
      <c r="N29" s="63" t="str">
        <f>IF(((OR('Pay Check Comparision'!$C$46='Filing Status'!$A$5,'Pay Check Comparision'!$C$46='Filing Status'!$A$3)*AND($L$6&lt;&gt;" ",$L$6&gt;I29,$L$6&lt;J29))),K29+(($L$6-M29)*L29)," ")</f>
        <v xml:space="preserve"> </v>
      </c>
      <c r="O29" s="57" t="str">
        <f>IF(((OR('Pay Check Comparision'!$C$46='Filing Status'!$A$5,'Pay Check Comparision'!$C$46='Filing Status'!$A$3)*AND($M$6&lt;&gt;" ",$M$6&gt;I29,$M$6&lt;J29))),K29+(($M$6-M29)*L29)," ")</f>
        <v xml:space="preserve"> </v>
      </c>
      <c r="P29" s="60" t="str">
        <f>IF(((OR('Pay Check Comparision'!$C$46='Filing Status'!$A$5,'Pay Check Comparision'!$C$46='Filing Status'!$A$3)*AND($N$6&lt;&gt;" ",$N$6&gt;I29,$N$6&lt;J29))),K29+(($N$6-M29)*L29)," ")</f>
        <v xml:space="preserve"> </v>
      </c>
    </row>
    <row r="30" spans="1:16" x14ac:dyDescent="0.25">
      <c r="G30"/>
      <c r="H30" t="str">
        <f>IF(AND($F$6&lt;&gt;" ",'Pay Check Comparision'!$C$46='Filing Status'!$A$4,$F$6&gt;A30,$F$6&lt;B30),C30+(($F$6-E30)*D30)," ")</f>
        <v xml:space="preserve"> </v>
      </c>
    </row>
    <row r="31" spans="1:16" x14ac:dyDescent="0.25">
      <c r="A31" s="26" t="s">
        <v>9</v>
      </c>
      <c r="B31" s="27"/>
      <c r="C31" s="27"/>
      <c r="D31" s="27"/>
      <c r="E31" s="28"/>
      <c r="G31"/>
      <c r="H31" t="str">
        <f>IF(AND($F$6&lt;&gt;" ",'Pay Check Comparision'!$C$46='Filing Status'!$A$4,$F$6&gt;A31,$F$6&lt;B31),C31+(($F$6-E31)*D31)," ")</f>
        <v xml:space="preserve"> </v>
      </c>
      <c r="I31" s="26" t="s">
        <v>9</v>
      </c>
      <c r="J31" s="27"/>
      <c r="K31" s="27"/>
      <c r="L31" s="27"/>
      <c r="M31" s="28"/>
    </row>
    <row r="32" spans="1:16" ht="15.75" x14ac:dyDescent="0.25">
      <c r="A32" s="17">
        <f>A74/12</f>
        <v>0</v>
      </c>
      <c r="B32" s="18">
        <f>B74/12</f>
        <v>1158.3333333333333</v>
      </c>
      <c r="C32" s="19">
        <f>C74/12</f>
        <v>0</v>
      </c>
      <c r="D32" s="20">
        <v>0</v>
      </c>
      <c r="E32" s="21">
        <f>A32</f>
        <v>0</v>
      </c>
      <c r="F32" s="63" t="str">
        <f>IF(AND($D$6&lt;&gt;" ",'Pay Check Comparision'!$C$46='Filing Status'!$A$6,$D$6&gt;A32,$D$6&lt;B32),C32+(($D$6-E32)*D32)," ")</f>
        <v xml:space="preserve"> </v>
      </c>
      <c r="G32" s="57" t="str">
        <f>IF(AND($E$6&lt;&gt;" ",'Pay Check Comparision'!$C$46='Filing Status'!$A$6,$E$6&gt;A32,$E$6&lt;B32),C32+(($E$6-E32)*D32)," ")</f>
        <v xml:space="preserve"> </v>
      </c>
      <c r="H32" s="60" t="str">
        <f>IF(AND($F$6&lt;&gt;" ",'Pay Check Comparision'!$C$46='Filing Status'!$A$6,$F$6&gt;A32,$F$6&lt;B32),C32+(($F$6-E32)*D32)," ")</f>
        <v xml:space="preserve"> </v>
      </c>
      <c r="I32" s="17">
        <f>I74/12</f>
        <v>0</v>
      </c>
      <c r="J32" s="18">
        <f>J74/12</f>
        <v>937.5</v>
      </c>
      <c r="K32" s="19">
        <f>K74/12</f>
        <v>0</v>
      </c>
      <c r="L32" s="20">
        <v>0</v>
      </c>
      <c r="M32" s="21">
        <f>I32</f>
        <v>0</v>
      </c>
      <c r="N32" s="63" t="str">
        <f>IF(AND($L$6&lt;&gt;" ",'Pay Check Comparision'!$C$46='Filing Status'!$A$6,$L$6&gt;I32,$L$6&lt;J32),K32+(($L$6-M32)*L32)," ")</f>
        <v xml:space="preserve"> </v>
      </c>
      <c r="O32" s="57" t="str">
        <f>IF(AND($M$6&lt;&gt;" ",'Pay Check Comparision'!$C$46='Filing Status'!$A$6,$M$6&gt;I32,$M$6&lt;J32),K32+(($M$6-M32)*L32)," ")</f>
        <v xml:space="preserve"> </v>
      </c>
      <c r="P32" s="64" t="str">
        <f>IF(AND($N$6&lt;&gt;" ",'Pay Check Comparision'!$C$46='Filing Status'!$A$6,$N$6&gt;I32,$N$6&lt;J32),K32+(($N$6-M32)*L32)," ")</f>
        <v xml:space="preserve"> </v>
      </c>
    </row>
    <row r="33" spans="1:16" ht="15.75" x14ac:dyDescent="0.25">
      <c r="A33" s="17">
        <f t="shared" ref="A33:C39" si="12">A75/12</f>
        <v>1158.3333333333333</v>
      </c>
      <c r="B33" s="18">
        <f t="shared" si="12"/>
        <v>2575</v>
      </c>
      <c r="C33" s="19">
        <f t="shared" si="12"/>
        <v>0</v>
      </c>
      <c r="D33" s="22">
        <v>0.1</v>
      </c>
      <c r="E33" s="21">
        <f t="shared" ref="E33:E39" si="13">A33</f>
        <v>1158.3333333333333</v>
      </c>
      <c r="F33" s="63" t="str">
        <f>IF(AND($D$6&lt;&gt;" ",'Pay Check Comparision'!$C$46='Filing Status'!$A$6,$D$6&gt;A33,$D$6&lt;B33),C33+(($D$6-E33)*D33)," ")</f>
        <v xml:space="preserve"> </v>
      </c>
      <c r="G33" s="57" t="str">
        <f>IF(AND($E$6&lt;&gt;" ",'Pay Check Comparision'!$C$46='Filing Status'!$A$6,$E$6&gt;A33,$E$6&lt;B33),C33+(($E$6-E33)*D33)," ")</f>
        <v xml:space="preserve"> </v>
      </c>
      <c r="H33" s="60" t="str">
        <f>IF(AND($F$6&lt;&gt;" ",'Pay Check Comparision'!$C$46='Filing Status'!$A$6,$F$6&gt;A33,$F$6&lt;B33),C33+(($F$6-E33)*D33)," ")</f>
        <v xml:space="preserve"> </v>
      </c>
      <c r="I33" s="17">
        <f t="shared" ref="I33:K39" si="14">I75/12</f>
        <v>937.5</v>
      </c>
      <c r="J33" s="18">
        <f t="shared" si="14"/>
        <v>1645.8333333333333</v>
      </c>
      <c r="K33" s="19">
        <f t="shared" si="14"/>
        <v>0</v>
      </c>
      <c r="L33" s="22">
        <v>0.1</v>
      </c>
      <c r="M33" s="21">
        <f t="shared" ref="M33:M39" si="15">I33</f>
        <v>937.5</v>
      </c>
      <c r="N33" s="63" t="str">
        <f>IF(AND($L$6&lt;&gt;" ",'Pay Check Comparision'!$C$46='Filing Status'!$A$6,$L$6&gt;I33,$L$6&lt;J33),K33+(($L$6-M33)*L33)," ")</f>
        <v xml:space="preserve"> </v>
      </c>
      <c r="O33" s="57" t="str">
        <f>IF(AND($M$6&lt;&gt;" ",'Pay Check Comparision'!$C$46='Filing Status'!$A$6,$M$6&gt;I33,$M$6&lt;J33),K33+(($M$6-M33)*L33)," ")</f>
        <v xml:space="preserve"> </v>
      </c>
      <c r="P33" s="64" t="str">
        <f>IF(AND($N$6&lt;&gt;" ",'Pay Check Comparision'!$C$46='Filing Status'!$A$6,$N$6&gt;I33,$N$6&lt;J33),K33+(($N$6-M33)*L33)," ")</f>
        <v xml:space="preserve"> </v>
      </c>
    </row>
    <row r="34" spans="1:16" ht="15.75" x14ac:dyDescent="0.25">
      <c r="A34" s="17">
        <f t="shared" si="12"/>
        <v>2575</v>
      </c>
      <c r="B34" s="18">
        <f t="shared" si="12"/>
        <v>6562.5</v>
      </c>
      <c r="C34" s="19">
        <f t="shared" si="12"/>
        <v>141.66666666666666</v>
      </c>
      <c r="D34" s="22">
        <v>0.12</v>
      </c>
      <c r="E34" s="21">
        <f t="shared" si="13"/>
        <v>2575</v>
      </c>
      <c r="F34" s="63" t="str">
        <f>IF(AND($D$6&lt;&gt;" ",'Pay Check Comparision'!$C$46='Filing Status'!$A$6,$D$6&gt;A34,$D$6&lt;B34),C34+(($D$6-E34)*D34)," ")</f>
        <v xml:space="preserve"> </v>
      </c>
      <c r="G34" s="57" t="str">
        <f>IF(AND($E$6&lt;&gt;" ",'Pay Check Comparision'!$C$46='Filing Status'!$A$6,$E$6&gt;A34,$E$6&lt;B34),C34+(($E$6-E34)*D34)," ")</f>
        <v xml:space="preserve"> </v>
      </c>
      <c r="H34" s="60" t="str">
        <f>IF(AND($F$6&lt;&gt;" ",'Pay Check Comparision'!$C$46='Filing Status'!$A$6,$F$6&gt;A34,$F$6&lt;B34),C34+(($F$6-E34)*D34)," ")</f>
        <v xml:space="preserve"> </v>
      </c>
      <c r="I34" s="17">
        <f t="shared" si="14"/>
        <v>1645.8333333333333</v>
      </c>
      <c r="J34" s="18">
        <f t="shared" si="14"/>
        <v>3639.5833333333335</v>
      </c>
      <c r="K34" s="19">
        <f t="shared" si="14"/>
        <v>70.833333333333329</v>
      </c>
      <c r="L34" s="22">
        <v>0.12</v>
      </c>
      <c r="M34" s="21">
        <f t="shared" si="15"/>
        <v>1645.8333333333333</v>
      </c>
      <c r="N34" s="63" t="str">
        <f>IF(AND($L$6&lt;&gt;" ",'Pay Check Comparision'!$C$46='Filing Status'!$A$6,$L$6&gt;I34,$L$6&lt;J34),K34+(($L$6-M34)*L34)," ")</f>
        <v xml:space="preserve"> </v>
      </c>
      <c r="O34" s="57" t="str">
        <f>IF(AND($M$6&lt;&gt;" ",'Pay Check Comparision'!$C$46='Filing Status'!$A$6,$M$6&gt;I34,$M$6&lt;J34),K34+(($M$6-M34)*L34)," ")</f>
        <v xml:space="preserve"> </v>
      </c>
      <c r="P34" s="64" t="str">
        <f>IF(AND($N$6&lt;&gt;" ",'Pay Check Comparision'!$C$46='Filing Status'!$A$6,$N$6&gt;I34,$N$6&lt;J34),K34+(($N$6-M34)*L34)," ")</f>
        <v xml:space="preserve"> </v>
      </c>
    </row>
    <row r="35" spans="1:16" ht="15.75" x14ac:dyDescent="0.25">
      <c r="A35" s="17">
        <f t="shared" si="12"/>
        <v>6562.5</v>
      </c>
      <c r="B35" s="18">
        <f t="shared" si="12"/>
        <v>9770.8333333333339</v>
      </c>
      <c r="C35" s="19">
        <f t="shared" si="12"/>
        <v>620.16666666666663</v>
      </c>
      <c r="D35" s="22">
        <v>0.22</v>
      </c>
      <c r="E35" s="21">
        <f t="shared" si="13"/>
        <v>6562.5</v>
      </c>
      <c r="F35" s="63" t="str">
        <f>IF(AND($D$6&lt;&gt;" ",'Pay Check Comparision'!$C$46='Filing Status'!$A$6,$D$6&gt;A35,$D$6&lt;B35),C35+(($D$6-E35)*D35)," ")</f>
        <v xml:space="preserve"> </v>
      </c>
      <c r="G35" s="57" t="str">
        <f>IF(AND($E$6&lt;&gt;" ",'Pay Check Comparision'!$C$46='Filing Status'!$A$6,$E$6&gt;A35,$E$6&lt;B35),C35+(($E$6-E35)*D35)," ")</f>
        <v xml:space="preserve"> </v>
      </c>
      <c r="H35" s="60" t="str">
        <f>IF(AND($F$6&lt;&gt;" ",'Pay Check Comparision'!$C$46='Filing Status'!$A$6,$F$6&gt;A35,$F$6&lt;B35),C35+(($F$6-E35)*D35)," ")</f>
        <v xml:space="preserve"> </v>
      </c>
      <c r="I35" s="17">
        <f t="shared" si="14"/>
        <v>3639.5833333333335</v>
      </c>
      <c r="J35" s="18">
        <f t="shared" si="14"/>
        <v>5243.75</v>
      </c>
      <c r="K35" s="19">
        <f t="shared" si="14"/>
        <v>310.08333333333331</v>
      </c>
      <c r="L35" s="22">
        <v>0.22</v>
      </c>
      <c r="M35" s="21">
        <f t="shared" si="15"/>
        <v>3639.5833333333335</v>
      </c>
      <c r="N35" s="63" t="str">
        <f>IF(AND($L$6&lt;&gt;" ",'Pay Check Comparision'!$C$46='Filing Status'!$A$6,$L$6&gt;I35,$L$6&lt;J35),K35+(($L$6-M35)*L35)," ")</f>
        <v xml:space="preserve"> </v>
      </c>
      <c r="O35" s="57" t="str">
        <f>IF(AND($M$6&lt;&gt;" ",'Pay Check Comparision'!$C$46='Filing Status'!$A$6,$M$6&gt;I35,$M$6&lt;J35),K35+(($M$6-M35)*L35)," ")</f>
        <v xml:space="preserve"> </v>
      </c>
      <c r="P35" s="64" t="str">
        <f>IF(AND($N$6&lt;&gt;" ",'Pay Check Comparision'!$C$46='Filing Status'!$A$6,$N$6&gt;I35,$N$6&lt;J35),K35+(($N$6-M35)*L35)," ")</f>
        <v xml:space="preserve"> </v>
      </c>
    </row>
    <row r="36" spans="1:16" ht="15.75" x14ac:dyDescent="0.25">
      <c r="A36" s="17">
        <f t="shared" si="12"/>
        <v>9770.8333333333339</v>
      </c>
      <c r="B36" s="18">
        <f t="shared" si="12"/>
        <v>17600</v>
      </c>
      <c r="C36" s="19">
        <f t="shared" si="12"/>
        <v>1326</v>
      </c>
      <c r="D36" s="22">
        <v>0.24</v>
      </c>
      <c r="E36" s="21">
        <f t="shared" si="13"/>
        <v>9770.8333333333339</v>
      </c>
      <c r="F36" s="63" t="str">
        <f>IF(AND($D$6&lt;&gt;" ",'Pay Check Comparision'!$C$46='Filing Status'!$A$6,$D$6&gt;A36,$D$6&lt;B36),C36+(($D$6-E36)*D36)," ")</f>
        <v xml:space="preserve"> </v>
      </c>
      <c r="G36" s="57" t="str">
        <f>IF(AND($E$6&lt;&gt;" ",'Pay Check Comparision'!$C$46='Filing Status'!$A$6,$E$6&gt;A36,$E$6&lt;B36),C36+(($E$6-E36)*D36)," ")</f>
        <v xml:space="preserve"> </v>
      </c>
      <c r="H36" s="60" t="str">
        <f>IF(AND($F$6&lt;&gt;" ",'Pay Check Comparision'!$C$46='Filing Status'!$A$6,$F$6&gt;A36,$F$6&lt;B36),C36+(($F$6-E36)*D36)," ")</f>
        <v xml:space="preserve"> </v>
      </c>
      <c r="I36" s="17">
        <f t="shared" si="14"/>
        <v>5243.75</v>
      </c>
      <c r="J36" s="18">
        <f t="shared" si="14"/>
        <v>9158.3333333333339</v>
      </c>
      <c r="K36" s="19">
        <f t="shared" si="14"/>
        <v>663</v>
      </c>
      <c r="L36" s="22">
        <v>0.24</v>
      </c>
      <c r="M36" s="21">
        <f t="shared" si="15"/>
        <v>5243.75</v>
      </c>
      <c r="N36" s="63" t="str">
        <f>IF(AND($L$6&lt;&gt;" ",'Pay Check Comparision'!$C$46='Filing Status'!$A$6,$L$6&gt;I36,$L$6&lt;J36),K36+(($L$6-M36)*L36)," ")</f>
        <v xml:space="preserve"> </v>
      </c>
      <c r="O36" s="57" t="str">
        <f>IF(AND($M$6&lt;&gt;" ",'Pay Check Comparision'!$C$46='Filing Status'!$A$6,$M$6&gt;I36,$M$6&lt;J36),K36+(($M$6-M36)*L36)," ")</f>
        <v xml:space="preserve"> </v>
      </c>
      <c r="P36" s="64" t="str">
        <f>IF(AND($N$6&lt;&gt;" ",'Pay Check Comparision'!$C$46='Filing Status'!$A$6,$N$6&gt;I36,$N$6&lt;J36),K36+(($N$6-M36)*L36)," ")</f>
        <v xml:space="preserve"> </v>
      </c>
    </row>
    <row r="37" spans="1:16" ht="15.75" x14ac:dyDescent="0.25">
      <c r="A37" s="17">
        <f t="shared" si="12"/>
        <v>17600</v>
      </c>
      <c r="B37" s="18">
        <f t="shared" si="12"/>
        <v>22033.333333333332</v>
      </c>
      <c r="C37" s="19">
        <f t="shared" si="12"/>
        <v>3205</v>
      </c>
      <c r="D37" s="22">
        <v>0.32</v>
      </c>
      <c r="E37" s="21">
        <f t="shared" si="13"/>
        <v>17600</v>
      </c>
      <c r="F37" s="63" t="str">
        <f>IF(AND($D$6&lt;&gt;" ",'Pay Check Comparision'!$C$46='Filing Status'!$A$6,$D$6&gt;A37,$D$6&lt;B37),C37+(($D$6-E37)*D37)," ")</f>
        <v xml:space="preserve"> </v>
      </c>
      <c r="G37" s="57" t="str">
        <f>IF(AND($E$6&lt;&gt;" ",'Pay Check Comparision'!$C$46='Filing Status'!$A$6,$E$6&gt;A37,$E$6&lt;B37),C37+(($E$6-E37)*D37)," ")</f>
        <v xml:space="preserve"> </v>
      </c>
      <c r="H37" s="60" t="str">
        <f>IF(AND($F$6&lt;&gt;" ",'Pay Check Comparision'!$C$46='Filing Status'!$A$6,$F$6&gt;A37,$F$6&lt;B37),C37+(($F$6-E37)*D37)," ")</f>
        <v xml:space="preserve"> </v>
      </c>
      <c r="I37" s="17">
        <f t="shared" si="14"/>
        <v>9158.3333333333339</v>
      </c>
      <c r="J37" s="18">
        <f t="shared" si="14"/>
        <v>11375</v>
      </c>
      <c r="K37" s="19">
        <f t="shared" si="14"/>
        <v>1602.5</v>
      </c>
      <c r="L37" s="22">
        <v>0.32</v>
      </c>
      <c r="M37" s="21">
        <f t="shared" si="15"/>
        <v>9158.3333333333339</v>
      </c>
      <c r="N37" s="63" t="str">
        <f>IF(AND($L$6&lt;&gt;" ",'Pay Check Comparision'!$C$46='Filing Status'!$A$6,$L$6&gt;I37,$L$6&lt;J37),K37+(($L$6-M37)*L37)," ")</f>
        <v xml:space="preserve"> </v>
      </c>
      <c r="O37" s="57" t="str">
        <f>IF(AND($M$6&lt;&gt;" ",'Pay Check Comparision'!$C$46='Filing Status'!$A$6,$M$6&gt;I37,$M$6&lt;J37),K37+(($M$6-M37)*L37)," ")</f>
        <v xml:space="preserve"> </v>
      </c>
      <c r="P37" s="64" t="str">
        <f>IF(AND($N$6&lt;&gt;" ",'Pay Check Comparision'!$C$46='Filing Status'!$A$6,$N$6&gt;I37,$N$6&lt;J37),K37+(($N$6-M37)*L37)," ")</f>
        <v xml:space="preserve"> </v>
      </c>
    </row>
    <row r="38" spans="1:16" ht="15.75" x14ac:dyDescent="0.25">
      <c r="A38" s="17">
        <f t="shared" si="12"/>
        <v>22033.333333333332</v>
      </c>
      <c r="B38" s="18">
        <f t="shared" si="12"/>
        <v>53354.166666666664</v>
      </c>
      <c r="C38" s="19">
        <f t="shared" si="12"/>
        <v>4623.666666666667</v>
      </c>
      <c r="D38" s="22">
        <v>0.35</v>
      </c>
      <c r="E38" s="21">
        <f t="shared" si="13"/>
        <v>22033.333333333332</v>
      </c>
      <c r="F38" s="63" t="str">
        <f>IF(AND($D$6&lt;&gt;" ",'Pay Check Comparision'!$C$46='Filing Status'!$A$6,$D$6&gt;A38,$D$6&lt;B38),C38+(($D$6-E38)*D38)," ")</f>
        <v xml:space="preserve"> </v>
      </c>
      <c r="G38" s="57" t="str">
        <f>IF(AND($E$6&lt;&gt;" ",'Pay Check Comparision'!$C$46='Filing Status'!$A$6,$E$6&gt;A38,$E$6&lt;B38),C38+(($E$6-E38)*D38)," ")</f>
        <v xml:space="preserve"> </v>
      </c>
      <c r="H38" s="60" t="str">
        <f>IF(AND($F$6&lt;&gt;" ",'Pay Check Comparision'!$C$46='Filing Status'!$A$6,$F$6&gt;A38,$F$6&lt;B38),C38+(($F$6-E38)*D38)," ")</f>
        <v xml:space="preserve"> </v>
      </c>
      <c r="I38" s="17">
        <f t="shared" si="14"/>
        <v>11375</v>
      </c>
      <c r="J38" s="18">
        <f>J80/12</f>
        <v>27035.416666666668</v>
      </c>
      <c r="K38" s="19">
        <f t="shared" ref="K38:K39" si="16">K80/12</f>
        <v>2311.8333333333335</v>
      </c>
      <c r="L38" s="22">
        <v>0.35</v>
      </c>
      <c r="M38" s="21">
        <f t="shared" si="15"/>
        <v>11375</v>
      </c>
      <c r="N38" s="63" t="str">
        <f>IF(AND($L$6&lt;&gt;" ",'Pay Check Comparision'!$C$46='Filing Status'!$A$6,$L$6&gt;I38,$L$6&lt;J38),K38+(($L$6-M38)*L38)," ")</f>
        <v xml:space="preserve"> </v>
      </c>
      <c r="O38" s="57" t="str">
        <f>IF(AND($M$6&lt;&gt;" ",'Pay Check Comparision'!$C$46='Filing Status'!$A$6,$M$6&gt;I38,$M$6&lt;J38),K38+(($M$6-M38)*L38)," ")</f>
        <v xml:space="preserve"> </v>
      </c>
      <c r="P38" s="64" t="str">
        <f>IF(AND($N$6&lt;&gt;" ",'Pay Check Comparision'!$C$46='Filing Status'!$A$6,$N$6&gt;I38,$N$6&lt;J38),K38+(($N$6-M38)*L38)," ")</f>
        <v xml:space="preserve"> </v>
      </c>
    </row>
    <row r="39" spans="1:16" ht="15.75" x14ac:dyDescent="0.25">
      <c r="A39" s="17">
        <f t="shared" si="12"/>
        <v>53354.166666666664</v>
      </c>
      <c r="B39" s="23"/>
      <c r="C39" s="19">
        <f t="shared" ref="C39" si="17">C81/12</f>
        <v>15585.958333333334</v>
      </c>
      <c r="D39" s="24">
        <v>0.37</v>
      </c>
      <c r="E39" s="21">
        <f t="shared" si="13"/>
        <v>53354.166666666664</v>
      </c>
      <c r="F39" s="63" t="str">
        <f>IF(AND($D$6&lt;&gt;" ",'Pay Check Comparision'!$C$46='Filing Status'!$A$6,$D$6&gt;A39,$D$6&lt;B39),C39+(($D$6-E39)*D39)," ")</f>
        <v xml:space="preserve"> </v>
      </c>
      <c r="G39" s="57" t="str">
        <f>IF(AND($E$6&lt;&gt;" ",'Pay Check Comparision'!$C$46='Filing Status'!$A$6,$E$6&gt;A39,$E$6&lt;B39),C39+(($E$6-E39)*D39)," ")</f>
        <v xml:space="preserve"> </v>
      </c>
      <c r="H39" s="60" t="str">
        <f>IF(AND($F$6&lt;&gt;" ",'Pay Check Comparision'!$C$46='Filing Status'!$A$6,$F$6&gt;A39,$F$6&lt;B39),C39+(($F$6-E39)*D39)," ")</f>
        <v xml:space="preserve"> </v>
      </c>
      <c r="I39" s="17">
        <f t="shared" si="14"/>
        <v>27035.416666666668</v>
      </c>
      <c r="J39" s="23"/>
      <c r="K39" s="19">
        <f t="shared" si="16"/>
        <v>7792.979166666667</v>
      </c>
      <c r="L39" s="24">
        <v>0.37</v>
      </c>
      <c r="M39" s="21">
        <f t="shared" si="15"/>
        <v>27035.416666666668</v>
      </c>
      <c r="N39" s="63" t="str">
        <f>IF(AND($L$6&lt;&gt;" ",'Pay Check Comparision'!$C$46='Filing Status'!$A$6,$L$6&gt;I39,$L$6&lt;J39),K39+(($L$6-M39)*L39)," ")</f>
        <v xml:space="preserve"> </v>
      </c>
      <c r="O39" s="57" t="str">
        <f>IF(AND($M$6&lt;&gt;" ",'Pay Check Comparision'!$C$46='Filing Status'!$A$6,$M$6&gt;I39,$M$6&lt;J39),K39+(($M$6-M39)*L39)," ")</f>
        <v xml:space="preserve"> </v>
      </c>
      <c r="P39" s="64" t="str">
        <f>IF(AND($N$6&lt;&gt;" ",'Pay Check Comparision'!$C$46='Filing Status'!$A$6,$N$6&gt;I39,$N$6&lt;J39),K39+(($N$6-M39)*L39)," ")</f>
        <v xml:space="preserve"> </v>
      </c>
    </row>
    <row r="40" spans="1:16" x14ac:dyDescent="0.25">
      <c r="I40" s="17"/>
    </row>
    <row r="41" spans="1:16" x14ac:dyDescent="0.25">
      <c r="A41" s="39"/>
      <c r="B41" s="39"/>
      <c r="C41" s="39"/>
      <c r="D41" s="39"/>
      <c r="E41" s="39"/>
      <c r="F41" s="39"/>
      <c r="G41" s="40"/>
      <c r="H41" s="40"/>
      <c r="I41" s="39"/>
      <c r="J41" s="39"/>
      <c r="K41" s="39"/>
      <c r="L41" s="39"/>
      <c r="M41" s="39"/>
    </row>
    <row r="42" spans="1:16" x14ac:dyDescent="0.25">
      <c r="A42" s="39"/>
      <c r="B42" s="39"/>
      <c r="C42" s="39"/>
      <c r="D42" s="39"/>
      <c r="E42" s="39"/>
      <c r="F42" s="39"/>
      <c r="G42" s="40"/>
      <c r="H42" s="40"/>
      <c r="I42" s="39"/>
      <c r="J42" s="39"/>
      <c r="K42" s="39"/>
      <c r="L42" s="39"/>
      <c r="M42" s="39"/>
    </row>
    <row r="44" spans="1:16" x14ac:dyDescent="0.25">
      <c r="A44" s="121" t="s">
        <v>116</v>
      </c>
      <c r="B44" s="121"/>
      <c r="C44" s="121"/>
      <c r="D44" s="121"/>
      <c r="E44" s="121"/>
      <c r="I44" s="122" t="s">
        <v>117</v>
      </c>
      <c r="J44" s="122"/>
      <c r="K44" s="122"/>
      <c r="L44" s="122"/>
      <c r="M44" s="122"/>
    </row>
    <row r="45" spans="1:16" x14ac:dyDescent="0.25">
      <c r="A45" t="s">
        <v>90</v>
      </c>
      <c r="I45" t="s">
        <v>92</v>
      </c>
    </row>
    <row r="46" spans="1:16" x14ac:dyDescent="0.25">
      <c r="A46" t="s">
        <v>91</v>
      </c>
      <c r="I46" t="s">
        <v>93</v>
      </c>
    </row>
    <row r="47" spans="1:16" x14ac:dyDescent="0.25">
      <c r="E47" t="s">
        <v>120</v>
      </c>
      <c r="M47" t="s">
        <v>121</v>
      </c>
    </row>
    <row r="48" spans="1:16" x14ac:dyDescent="0.25">
      <c r="A48" t="s">
        <v>82</v>
      </c>
      <c r="D48" s="15"/>
      <c r="E48" s="45"/>
      <c r="I48" t="s">
        <v>82</v>
      </c>
      <c r="L48" s="3"/>
      <c r="M48" s="46"/>
    </row>
    <row r="49" spans="1:19" x14ac:dyDescent="0.25">
      <c r="C49" t="s">
        <v>99</v>
      </c>
      <c r="K49" t="s">
        <v>99</v>
      </c>
    </row>
    <row r="50" spans="1:19" ht="45" x14ac:dyDescent="0.25">
      <c r="A50" s="11" t="s">
        <v>83</v>
      </c>
      <c r="B50" s="11" t="s">
        <v>84</v>
      </c>
      <c r="C50" s="11" t="s">
        <v>85</v>
      </c>
      <c r="D50" s="11" t="s">
        <v>86</v>
      </c>
      <c r="E50" s="11" t="s">
        <v>87</v>
      </c>
      <c r="F50" s="11"/>
      <c r="G50" s="34"/>
      <c r="H50" s="34"/>
      <c r="I50" s="11" t="s">
        <v>83</v>
      </c>
      <c r="J50" s="11" t="s">
        <v>84</v>
      </c>
      <c r="K50" s="11" t="s">
        <v>85</v>
      </c>
      <c r="L50" s="11" t="s">
        <v>86</v>
      </c>
      <c r="M50" s="11" t="s">
        <v>87</v>
      </c>
    </row>
    <row r="51" spans="1:19" x14ac:dyDescent="0.25">
      <c r="A51" s="29" t="s">
        <v>96</v>
      </c>
      <c r="B51" s="30" t="s">
        <v>16</v>
      </c>
      <c r="C51" s="30" t="s">
        <v>97</v>
      </c>
      <c r="D51" s="30" t="s">
        <v>88</v>
      </c>
      <c r="E51" s="31" t="s">
        <v>98</v>
      </c>
      <c r="I51" s="29" t="s">
        <v>96</v>
      </c>
      <c r="J51" s="30" t="s">
        <v>16</v>
      </c>
      <c r="K51" s="30" t="s">
        <v>97</v>
      </c>
      <c r="L51" s="30" t="s">
        <v>88</v>
      </c>
      <c r="M51" s="31" t="s">
        <v>98</v>
      </c>
    </row>
    <row r="53" spans="1:19" x14ac:dyDescent="0.25">
      <c r="A53" s="26" t="s">
        <v>95</v>
      </c>
      <c r="B53" s="27"/>
      <c r="C53" s="27"/>
      <c r="D53" s="27"/>
      <c r="E53" s="28"/>
      <c r="I53" s="26" t="s">
        <v>95</v>
      </c>
      <c r="J53" s="27"/>
      <c r="K53" s="27"/>
      <c r="L53" s="27"/>
      <c r="M53" s="28"/>
    </row>
    <row r="54" spans="1:19" x14ac:dyDescent="0.25">
      <c r="A54" s="69">
        <v>0</v>
      </c>
      <c r="B54" s="18">
        <f t="shared" ref="B54:B59" si="18">A55</f>
        <v>17100</v>
      </c>
      <c r="C54" s="67">
        <v>0</v>
      </c>
      <c r="D54" s="20">
        <v>0</v>
      </c>
      <c r="E54" s="21">
        <v>0</v>
      </c>
      <c r="I54" s="69">
        <v>0</v>
      </c>
      <c r="J54" s="18">
        <f t="shared" ref="J54:J60" si="19">I55</f>
        <v>15000</v>
      </c>
      <c r="K54" s="67">
        <v>0</v>
      </c>
      <c r="L54" s="20">
        <v>0</v>
      </c>
      <c r="M54" s="21">
        <v>0</v>
      </c>
    </row>
    <row r="55" spans="1:19" x14ac:dyDescent="0.25">
      <c r="A55" s="69">
        <v>17100</v>
      </c>
      <c r="B55" s="18">
        <f t="shared" si="18"/>
        <v>40950</v>
      </c>
      <c r="C55" s="67">
        <v>0</v>
      </c>
      <c r="D55" s="22">
        <v>0.1</v>
      </c>
      <c r="E55" s="21">
        <f t="shared" ref="E55:E61" si="20">B54</f>
        <v>17100</v>
      </c>
      <c r="I55" s="69">
        <v>15000</v>
      </c>
      <c r="J55" s="18">
        <f t="shared" si="19"/>
        <v>26925</v>
      </c>
      <c r="K55" s="67">
        <v>0</v>
      </c>
      <c r="L55" s="22">
        <v>0.1</v>
      </c>
      <c r="M55" s="21">
        <f t="shared" ref="M55:M61" si="21">J54</f>
        <v>15000</v>
      </c>
    </row>
    <row r="56" spans="1:19" x14ac:dyDescent="0.25">
      <c r="A56" s="69">
        <v>40950</v>
      </c>
      <c r="B56" s="18">
        <f t="shared" si="18"/>
        <v>114050</v>
      </c>
      <c r="C56" s="67">
        <v>2385</v>
      </c>
      <c r="D56" s="22">
        <v>0.12</v>
      </c>
      <c r="E56" s="21">
        <f t="shared" si="20"/>
        <v>40950</v>
      </c>
      <c r="I56" s="69">
        <v>26925</v>
      </c>
      <c r="J56" s="18">
        <f t="shared" si="19"/>
        <v>63475</v>
      </c>
      <c r="K56" s="67">
        <v>1192.5</v>
      </c>
      <c r="L56" s="22">
        <v>0.12</v>
      </c>
      <c r="M56" s="21">
        <f t="shared" si="21"/>
        <v>26925</v>
      </c>
      <c r="O56" s="17"/>
      <c r="P56" s="18"/>
      <c r="Q56" s="19"/>
      <c r="R56" s="22"/>
      <c r="S56" s="21"/>
    </row>
    <row r="57" spans="1:19" x14ac:dyDescent="0.25">
      <c r="A57" s="69">
        <v>114050</v>
      </c>
      <c r="B57" s="18">
        <f t="shared" si="18"/>
        <v>223800</v>
      </c>
      <c r="C57" s="67">
        <v>11157</v>
      </c>
      <c r="D57" s="22">
        <v>0.22</v>
      </c>
      <c r="E57" s="21">
        <f t="shared" si="20"/>
        <v>114050</v>
      </c>
      <c r="I57" s="69">
        <v>63475</v>
      </c>
      <c r="J57" s="18">
        <f t="shared" si="19"/>
        <v>118350</v>
      </c>
      <c r="K57" s="67">
        <v>5578.5</v>
      </c>
      <c r="L57" s="22">
        <v>0.22</v>
      </c>
      <c r="M57" s="21">
        <f t="shared" si="21"/>
        <v>63475</v>
      </c>
    </row>
    <row r="58" spans="1:19" x14ac:dyDescent="0.25">
      <c r="A58" s="69">
        <v>223800</v>
      </c>
      <c r="B58" s="18">
        <f t="shared" si="18"/>
        <v>411700</v>
      </c>
      <c r="C58" s="67">
        <v>35302</v>
      </c>
      <c r="D58" s="22">
        <v>0.24</v>
      </c>
      <c r="E58" s="21">
        <f t="shared" si="20"/>
        <v>223800</v>
      </c>
      <c r="I58" s="69">
        <v>118350</v>
      </c>
      <c r="J58" s="18">
        <f t="shared" si="19"/>
        <v>212300</v>
      </c>
      <c r="K58" s="67">
        <v>17651</v>
      </c>
      <c r="L58" s="22">
        <v>0.24</v>
      </c>
      <c r="M58" s="21">
        <f t="shared" si="21"/>
        <v>118350</v>
      </c>
    </row>
    <row r="59" spans="1:19" x14ac:dyDescent="0.25">
      <c r="A59" s="69">
        <v>411700</v>
      </c>
      <c r="B59" s="18">
        <f t="shared" si="18"/>
        <v>518150</v>
      </c>
      <c r="C59" s="67">
        <v>80398</v>
      </c>
      <c r="D59" s="22">
        <v>0.32</v>
      </c>
      <c r="E59" s="21">
        <f t="shared" si="20"/>
        <v>411700</v>
      </c>
      <c r="I59" s="69">
        <v>212300</v>
      </c>
      <c r="J59" s="18">
        <f t="shared" si="19"/>
        <v>265525</v>
      </c>
      <c r="K59" s="67">
        <v>40199</v>
      </c>
      <c r="L59" s="22">
        <v>0.32</v>
      </c>
      <c r="M59" s="21">
        <f t="shared" si="21"/>
        <v>212300</v>
      </c>
    </row>
    <row r="60" spans="1:19" x14ac:dyDescent="0.25">
      <c r="A60" s="69">
        <v>518150</v>
      </c>
      <c r="B60" s="18">
        <f>A61</f>
        <v>768700</v>
      </c>
      <c r="C60" s="67">
        <v>114462</v>
      </c>
      <c r="D60" s="22">
        <v>0.35</v>
      </c>
      <c r="E60" s="21">
        <f t="shared" si="20"/>
        <v>518150</v>
      </c>
      <c r="I60" s="69">
        <v>265525</v>
      </c>
      <c r="J60" s="18">
        <f t="shared" si="19"/>
        <v>390800</v>
      </c>
      <c r="K60" s="67">
        <v>57231</v>
      </c>
      <c r="L60" s="22">
        <v>0.35</v>
      </c>
      <c r="M60" s="21">
        <f t="shared" si="21"/>
        <v>265525</v>
      </c>
    </row>
    <row r="61" spans="1:19" x14ac:dyDescent="0.25">
      <c r="A61" s="69">
        <v>768700</v>
      </c>
      <c r="B61" s="18"/>
      <c r="C61" s="67">
        <v>202154.5</v>
      </c>
      <c r="D61" s="22">
        <v>0.37</v>
      </c>
      <c r="E61" s="21">
        <f t="shared" si="20"/>
        <v>768700</v>
      </c>
      <c r="I61" s="69">
        <v>390800</v>
      </c>
      <c r="J61" s="18"/>
      <c r="K61" s="67">
        <v>101077.25</v>
      </c>
      <c r="L61" s="22">
        <v>0.37</v>
      </c>
      <c r="M61" s="21">
        <f t="shared" si="21"/>
        <v>390800</v>
      </c>
    </row>
    <row r="63" spans="1:19" x14ac:dyDescent="0.25">
      <c r="A63" s="26" t="s">
        <v>94</v>
      </c>
      <c r="B63" s="27"/>
      <c r="C63" s="27"/>
      <c r="D63" s="27"/>
      <c r="E63" s="28"/>
      <c r="I63" s="26" t="s">
        <v>94</v>
      </c>
      <c r="J63" s="27"/>
      <c r="K63" s="27"/>
      <c r="L63" s="27"/>
      <c r="M63" s="28"/>
    </row>
    <row r="64" spans="1:19" x14ac:dyDescent="0.25">
      <c r="A64" s="69">
        <v>0</v>
      </c>
      <c r="B64" s="18">
        <f t="shared" ref="B64:B70" si="22">A65</f>
        <v>6400</v>
      </c>
      <c r="C64" s="67">
        <v>0</v>
      </c>
      <c r="D64" s="20">
        <v>0</v>
      </c>
      <c r="E64" s="21">
        <v>0</v>
      </c>
      <c r="G64"/>
      <c r="H64"/>
      <c r="I64" s="69">
        <v>0</v>
      </c>
      <c r="J64" s="18">
        <f t="shared" ref="J64:J70" si="23">I65</f>
        <v>7500</v>
      </c>
      <c r="K64" s="67">
        <v>0</v>
      </c>
      <c r="L64" s="20">
        <v>0</v>
      </c>
      <c r="M64" s="21">
        <v>0</v>
      </c>
    </row>
    <row r="65" spans="1:13" x14ac:dyDescent="0.25">
      <c r="A65" s="69">
        <v>6400</v>
      </c>
      <c r="B65" s="18">
        <f t="shared" si="22"/>
        <v>18325</v>
      </c>
      <c r="C65" s="67">
        <v>0</v>
      </c>
      <c r="D65" s="22">
        <v>0.1</v>
      </c>
      <c r="E65" s="21">
        <f t="shared" ref="E65:E71" si="24">B64</f>
        <v>6400</v>
      </c>
      <c r="G65"/>
      <c r="H65"/>
      <c r="I65" s="69">
        <v>7500</v>
      </c>
      <c r="J65" s="18">
        <f t="shared" si="23"/>
        <v>13463</v>
      </c>
      <c r="K65" s="67">
        <v>0</v>
      </c>
      <c r="L65" s="22">
        <v>0.1</v>
      </c>
      <c r="M65" s="21">
        <f t="shared" ref="M65:M71" si="25">J64</f>
        <v>7500</v>
      </c>
    </row>
    <row r="66" spans="1:13" x14ac:dyDescent="0.25">
      <c r="A66" s="69">
        <v>18325</v>
      </c>
      <c r="B66" s="18">
        <f t="shared" si="22"/>
        <v>54875</v>
      </c>
      <c r="C66" s="67">
        <v>1192.5</v>
      </c>
      <c r="D66" s="22">
        <v>0.12</v>
      </c>
      <c r="E66" s="21">
        <f t="shared" si="24"/>
        <v>18325</v>
      </c>
      <c r="G66"/>
      <c r="H66"/>
      <c r="I66" s="69">
        <v>13463</v>
      </c>
      <c r="J66" s="18">
        <f t="shared" si="23"/>
        <v>31738</v>
      </c>
      <c r="K66" s="67">
        <v>596.25</v>
      </c>
      <c r="L66" s="22">
        <v>0.12</v>
      </c>
      <c r="M66" s="21">
        <f t="shared" si="25"/>
        <v>13463</v>
      </c>
    </row>
    <row r="67" spans="1:13" x14ac:dyDescent="0.25">
      <c r="A67" s="69">
        <v>54875</v>
      </c>
      <c r="B67" s="18">
        <f t="shared" si="22"/>
        <v>109750</v>
      </c>
      <c r="C67" s="67">
        <v>5578.5</v>
      </c>
      <c r="D67" s="22">
        <v>0.22</v>
      </c>
      <c r="E67" s="21">
        <f t="shared" si="24"/>
        <v>54875</v>
      </c>
      <c r="G67"/>
      <c r="H67"/>
      <c r="I67" s="69">
        <v>31738</v>
      </c>
      <c r="J67" s="18">
        <f t="shared" si="23"/>
        <v>59175</v>
      </c>
      <c r="K67" s="67">
        <v>2789.25</v>
      </c>
      <c r="L67" s="22">
        <v>0.22</v>
      </c>
      <c r="M67" s="21">
        <f t="shared" si="25"/>
        <v>31738</v>
      </c>
    </row>
    <row r="68" spans="1:13" x14ac:dyDescent="0.25">
      <c r="A68" s="69">
        <v>109750</v>
      </c>
      <c r="B68" s="18">
        <f t="shared" si="22"/>
        <v>203700</v>
      </c>
      <c r="C68" s="67">
        <v>17651</v>
      </c>
      <c r="D68" s="22">
        <v>0.24</v>
      </c>
      <c r="E68" s="21">
        <f t="shared" si="24"/>
        <v>109750</v>
      </c>
      <c r="G68"/>
      <c r="H68"/>
      <c r="I68" s="69">
        <v>59175</v>
      </c>
      <c r="J68" s="18">
        <f t="shared" si="23"/>
        <v>106150</v>
      </c>
      <c r="K68" s="67">
        <v>8825.5</v>
      </c>
      <c r="L68" s="22">
        <v>0.24</v>
      </c>
      <c r="M68" s="21">
        <f t="shared" si="25"/>
        <v>59175</v>
      </c>
    </row>
    <row r="69" spans="1:13" x14ac:dyDescent="0.25">
      <c r="A69" s="69">
        <v>203700</v>
      </c>
      <c r="B69" s="18">
        <f t="shared" si="22"/>
        <v>256925</v>
      </c>
      <c r="C69" s="67">
        <v>40199</v>
      </c>
      <c r="D69" s="22">
        <v>0.32</v>
      </c>
      <c r="E69" s="21">
        <f t="shared" si="24"/>
        <v>203700</v>
      </c>
      <c r="G69"/>
      <c r="H69"/>
      <c r="I69" s="69">
        <v>106150</v>
      </c>
      <c r="J69" s="18">
        <f t="shared" si="23"/>
        <v>132763</v>
      </c>
      <c r="K69" s="67">
        <v>20099.5</v>
      </c>
      <c r="L69" s="22">
        <v>0.32</v>
      </c>
      <c r="M69" s="21">
        <f t="shared" si="25"/>
        <v>106150</v>
      </c>
    </row>
    <row r="70" spans="1:13" x14ac:dyDescent="0.25">
      <c r="A70" s="69">
        <v>256925</v>
      </c>
      <c r="B70" s="18">
        <f t="shared" si="22"/>
        <v>632750</v>
      </c>
      <c r="C70" s="67">
        <v>57231</v>
      </c>
      <c r="D70" s="22">
        <v>0.35</v>
      </c>
      <c r="E70" s="21">
        <f t="shared" si="24"/>
        <v>256925</v>
      </c>
      <c r="G70"/>
      <c r="H70"/>
      <c r="I70" s="69">
        <v>132763</v>
      </c>
      <c r="J70" s="18">
        <f t="shared" si="23"/>
        <v>320675</v>
      </c>
      <c r="K70" s="67">
        <v>28615.5</v>
      </c>
      <c r="L70" s="22">
        <v>0.35</v>
      </c>
      <c r="M70" s="21">
        <f t="shared" si="25"/>
        <v>132763</v>
      </c>
    </row>
    <row r="71" spans="1:13" x14ac:dyDescent="0.25">
      <c r="A71" s="69">
        <v>632750</v>
      </c>
      <c r="B71" s="18"/>
      <c r="C71" s="67">
        <v>188769.75</v>
      </c>
      <c r="D71" s="22">
        <v>0.37</v>
      </c>
      <c r="E71" s="21">
        <f t="shared" si="24"/>
        <v>632750</v>
      </c>
      <c r="G71"/>
      <c r="H71"/>
      <c r="I71" s="69">
        <v>320675</v>
      </c>
      <c r="J71" s="18"/>
      <c r="K71" s="19">
        <v>94384.88</v>
      </c>
      <c r="L71" s="22">
        <v>0.37</v>
      </c>
      <c r="M71" s="21">
        <f t="shared" si="25"/>
        <v>320675</v>
      </c>
    </row>
    <row r="73" spans="1:13" x14ac:dyDescent="0.25">
      <c r="A73" s="26" t="s">
        <v>9</v>
      </c>
      <c r="B73" s="27"/>
      <c r="C73" s="27"/>
      <c r="D73" s="27"/>
      <c r="E73" s="28"/>
      <c r="I73" s="26" t="s">
        <v>9</v>
      </c>
      <c r="J73" s="27"/>
      <c r="K73" s="27"/>
      <c r="L73" s="27"/>
      <c r="M73" s="28"/>
    </row>
    <row r="74" spans="1:13" x14ac:dyDescent="0.25">
      <c r="A74" s="69">
        <v>0</v>
      </c>
      <c r="B74" s="18">
        <f t="shared" ref="B74:B80" si="26">A75</f>
        <v>13900</v>
      </c>
      <c r="C74" s="67">
        <v>0</v>
      </c>
      <c r="D74" s="20">
        <v>0</v>
      </c>
      <c r="E74" s="21">
        <v>0</v>
      </c>
      <c r="G74"/>
      <c r="H74"/>
      <c r="I74" s="69">
        <v>0</v>
      </c>
      <c r="J74" s="18">
        <f t="shared" ref="J74:J80" si="27">I75</f>
        <v>11250</v>
      </c>
      <c r="K74" s="67">
        <v>0</v>
      </c>
      <c r="L74" s="20">
        <v>0</v>
      </c>
      <c r="M74" s="21">
        <v>0</v>
      </c>
    </row>
    <row r="75" spans="1:13" x14ac:dyDescent="0.25">
      <c r="A75" s="69">
        <v>13900</v>
      </c>
      <c r="B75" s="18">
        <f t="shared" si="26"/>
        <v>30900</v>
      </c>
      <c r="C75" s="67">
        <v>0</v>
      </c>
      <c r="D75" s="22">
        <v>0.1</v>
      </c>
      <c r="E75" s="21">
        <f t="shared" ref="E75:E81" si="28">B74</f>
        <v>13900</v>
      </c>
      <c r="G75"/>
      <c r="H75"/>
      <c r="I75" s="69">
        <v>11250</v>
      </c>
      <c r="J75" s="18">
        <f t="shared" si="27"/>
        <v>19750</v>
      </c>
      <c r="K75" s="67">
        <v>0</v>
      </c>
      <c r="L75" s="22">
        <v>0.1</v>
      </c>
      <c r="M75" s="21">
        <f t="shared" ref="M75:M81" si="29">J74</f>
        <v>11250</v>
      </c>
    </row>
    <row r="76" spans="1:13" x14ac:dyDescent="0.25">
      <c r="A76" s="69">
        <v>30900</v>
      </c>
      <c r="B76" s="18">
        <f t="shared" si="26"/>
        <v>78750</v>
      </c>
      <c r="C76" s="67">
        <v>1700</v>
      </c>
      <c r="D76" s="22">
        <v>0.12</v>
      </c>
      <c r="E76" s="21">
        <f t="shared" si="28"/>
        <v>30900</v>
      </c>
      <c r="G76"/>
      <c r="H76"/>
      <c r="I76" s="69">
        <v>19750</v>
      </c>
      <c r="J76" s="18">
        <f t="shared" si="27"/>
        <v>43675</v>
      </c>
      <c r="K76" s="67">
        <v>850</v>
      </c>
      <c r="L76" s="22">
        <v>0.12</v>
      </c>
      <c r="M76" s="21">
        <f t="shared" si="29"/>
        <v>19750</v>
      </c>
    </row>
    <row r="77" spans="1:13" x14ac:dyDescent="0.25">
      <c r="A77" s="69">
        <v>78750</v>
      </c>
      <c r="B77" s="18">
        <f t="shared" si="26"/>
        <v>117250</v>
      </c>
      <c r="C77" s="67">
        <v>7442</v>
      </c>
      <c r="D77" s="22">
        <v>0.22</v>
      </c>
      <c r="E77" s="21">
        <f t="shared" si="28"/>
        <v>78750</v>
      </c>
      <c r="G77"/>
      <c r="H77"/>
      <c r="I77" s="69">
        <v>43675</v>
      </c>
      <c r="J77" s="18">
        <f t="shared" si="27"/>
        <v>62925</v>
      </c>
      <c r="K77" s="67">
        <v>3721</v>
      </c>
      <c r="L77" s="22">
        <v>0.22</v>
      </c>
      <c r="M77" s="21">
        <f t="shared" si="29"/>
        <v>43675</v>
      </c>
    </row>
    <row r="78" spans="1:13" x14ac:dyDescent="0.25">
      <c r="A78" s="69">
        <v>117250</v>
      </c>
      <c r="B78" s="18">
        <f t="shared" si="26"/>
        <v>211200</v>
      </c>
      <c r="C78" s="67">
        <v>15912</v>
      </c>
      <c r="D78" s="22">
        <v>0.24</v>
      </c>
      <c r="E78" s="21">
        <f t="shared" si="28"/>
        <v>117250</v>
      </c>
      <c r="G78"/>
      <c r="H78"/>
      <c r="I78" s="69">
        <v>62925</v>
      </c>
      <c r="J78" s="18">
        <f t="shared" si="27"/>
        <v>109900</v>
      </c>
      <c r="K78" s="67">
        <v>7956</v>
      </c>
      <c r="L78" s="22">
        <v>0.24</v>
      </c>
      <c r="M78" s="21">
        <f t="shared" si="29"/>
        <v>62925</v>
      </c>
    </row>
    <row r="79" spans="1:13" x14ac:dyDescent="0.25">
      <c r="A79" s="69">
        <v>211200</v>
      </c>
      <c r="B79" s="18">
        <f t="shared" si="26"/>
        <v>264400</v>
      </c>
      <c r="C79" s="67">
        <v>38460</v>
      </c>
      <c r="D79" s="22">
        <v>0.32</v>
      </c>
      <c r="E79" s="21">
        <f t="shared" si="28"/>
        <v>211200</v>
      </c>
      <c r="G79"/>
      <c r="H79"/>
      <c r="I79" s="69">
        <v>109900</v>
      </c>
      <c r="J79" s="18">
        <f t="shared" si="27"/>
        <v>136500</v>
      </c>
      <c r="K79" s="67">
        <v>19230</v>
      </c>
      <c r="L79" s="22">
        <v>0.32</v>
      </c>
      <c r="M79" s="21">
        <f t="shared" si="29"/>
        <v>109900</v>
      </c>
    </row>
    <row r="80" spans="1:13" x14ac:dyDescent="0.25">
      <c r="A80" s="69">
        <v>264400</v>
      </c>
      <c r="B80" s="18">
        <f t="shared" si="26"/>
        <v>640250</v>
      </c>
      <c r="C80" s="67">
        <v>55484</v>
      </c>
      <c r="D80" s="22">
        <v>0.35</v>
      </c>
      <c r="E80" s="21">
        <f t="shared" si="28"/>
        <v>264400</v>
      </c>
      <c r="G80"/>
      <c r="H80"/>
      <c r="I80" s="69">
        <v>136500</v>
      </c>
      <c r="J80" s="18">
        <f t="shared" si="27"/>
        <v>324425</v>
      </c>
      <c r="K80" s="67">
        <v>27742</v>
      </c>
      <c r="L80" s="22">
        <v>0.35</v>
      </c>
      <c r="M80" s="21">
        <f t="shared" si="29"/>
        <v>136500</v>
      </c>
    </row>
    <row r="81" spans="1:13" x14ac:dyDescent="0.25">
      <c r="A81" s="70">
        <v>640250</v>
      </c>
      <c r="B81" s="23"/>
      <c r="C81" s="68">
        <v>187031.5</v>
      </c>
      <c r="D81" s="24">
        <v>0.37</v>
      </c>
      <c r="E81" s="25">
        <f t="shared" si="28"/>
        <v>640250</v>
      </c>
      <c r="G81"/>
      <c r="H81"/>
      <c r="I81" s="70">
        <v>324425</v>
      </c>
      <c r="J81" s="23"/>
      <c r="K81" s="68">
        <v>93515.75</v>
      </c>
      <c r="L81" s="24">
        <v>0.37</v>
      </c>
      <c r="M81" s="25">
        <f t="shared" si="29"/>
        <v>324425</v>
      </c>
    </row>
  </sheetData>
  <sheetProtection algorithmName="SHA-512" hashValue="nA1iXndWGUvJKsw1SyQPBCiEN3Ve0n3V3fAIIp19ITBz+jgTPEemHrIPnBTO2MPNiAmyBPfTSL6Jp9pHGozBig==" saltValue="bSiCJPYd/M6u/KW4FjYONg==" spinCount="100000" sheet="1" objects="1" scenarios="1"/>
  <mergeCells count="4">
    <mergeCell ref="A2:E2"/>
    <mergeCell ref="I2:M2"/>
    <mergeCell ref="A44:E44"/>
    <mergeCell ref="I44:M4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h 4 T 6 W k M e c J u l A A A A 9 w A A A B I A H A B D b 2 5 m a W c v U G F j a 2 F n Z S 5 4 b W w g o h g A K K A U A A A A A A A A A A A A A A A A A A A A A A A A A A A A h Y 8 x D o I w G I W v Q r r T l p o Q I T 9 l c J X E h G h c m 1 q h E Y q h x X I 3 B 4 / k F c Q o 6 u b 4 v v c N 7 9 2 v N 8 j H t g k u q r e 6 M x m K M E W B M r I 7 a F N l a H D H c I l y D h s h T 6 J S w S Q b m 4 7 2 k K H a u X N K i P c e + w X u + o o w S i O y L 9 a l r F U r 0 E f W / + V Q G + u E k Q p x 2 L 3 G c I a T G E d J H D N M g c w U C m 2 + B p s G P 9 s f C K u h c U O v u D L h t g Q y R y D v E / w B U E s D B B Q A A g A I A I e E +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H h P p a K I p H u A 4 A A A A R A A A A E w A c A E Z v c m 1 1 b G F z L 1 N l Y 3 R p b 2 4 x L m 0 g o h g A K K A U A A A A A A A A A A A A A A A A A A A A A A A A A A A A K 0 5 N L s n M z 1 M I h t C G 1 g B Q S w E C L Q A U A A I A C A C H h P p a Q x 5 w m 6 U A A A D 3 A A A A E g A A A A A A A A A A A A A A A A A A A A A A Q 2 9 u Z m l n L 1 B h Y 2 t h Z 2 U u e G 1 s U E s B A i 0 A F A A C A A g A h 4 T 6 W g / K 6 a u k A A A A 6 Q A A A B M A A A A A A A A A A A A A A A A A 8 Q A A A F t D b 2 5 0 Z W 5 0 X 1 R 5 c G V z X S 5 4 b W x Q S w E C L Q A U A A I A C A C H h P p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k 3 g A x i e U y E 2 2 L p P a g i t Q 5 A A A A A A C A A A A A A A D Z g A A w A A A A B A A A A B Y V / X F J u T q E G + Q 8 h l l R P 0 T A A A A A A S A A A C g A A A A E A A A A D c o w U p X E K E o U M D U P 3 4 j p v B Q A A A A S 9 o p E P e 9 V g q z S o K c s W c c a 6 V D Q h v n 2 X E i J N g 7 M A X E p q 0 v a o k y Q A z c t X 3 K v E 9 A B n H z C Y 0 T o P E I c j I l + o Q J W U Z P r + V 0 l r 9 h l r C u C O t r p + G d N P E U A A A A U H P 2 6 E v 5 t p g 2 k J Z q j 5 h a v V s U 2 N 4 = < / D a t a M a s h u p > 
</file>

<file path=customXml/itemProps1.xml><?xml version="1.0" encoding="utf-8"?>
<ds:datastoreItem xmlns:ds="http://schemas.openxmlformats.org/officeDocument/2006/customXml" ds:itemID="{E4A98579-A22D-405C-B1DA-94258E82C0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Pay Check Comparision</vt:lpstr>
      <vt:lpstr>Filing Status</vt:lpstr>
      <vt:lpstr>State Withholding Hidden</vt:lpstr>
      <vt:lpstr>Federal Withholding  Hidden </vt:lpstr>
      <vt:lpstr>2025 Percentage Method Tables</vt:lpstr>
      <vt:lpstr>'Pay Check Comparision'!Print_Area</vt:lpstr>
    </vt:vector>
  </TitlesOfParts>
  <Company>Southeastern Louisiana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Schmitt</dc:creator>
  <cp:lastModifiedBy>Mae Everett</cp:lastModifiedBy>
  <cp:lastPrinted>2022-05-02T19:37:34Z</cp:lastPrinted>
  <dcterms:created xsi:type="dcterms:W3CDTF">2020-01-06T19:06:09Z</dcterms:created>
  <dcterms:modified xsi:type="dcterms:W3CDTF">2025-07-27T23:17:31Z</dcterms:modified>
</cp:coreProperties>
</file>